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UFZN-PESNVM\24 MFF 2021\PAKT O MIGRACIJAH\Predlogi operacij po BB\"/>
    </mc:Choice>
  </mc:AlternateContent>
  <bookViews>
    <workbookView xWindow="28680" yWindow="-120" windowWidth="29040" windowHeight="17640" activeTab="2"/>
  </bookViews>
  <sheets>
    <sheet name="AMIF" sheetId="3" r:id="rId1"/>
    <sheet name="BMVI" sheetId="1" r:id="rId2"/>
    <sheet name="Izračun po BB" sheetId="4" r:id="rId3"/>
    <sheet name="List2" sheetId="2" state="hidden" r:id="rId4"/>
  </sheets>
  <externalReferences>
    <externalReference r:id="rId5"/>
    <externalReference r:id="rId6"/>
  </externalReferences>
  <definedNames>
    <definedName name="_xlnm._FilterDatabase" localSheetId="0" hidden="1">AMIF!$A$4:$P$67</definedName>
    <definedName name="_xlnm._FilterDatabase" localSheetId="1" hidden="1">BMVI!$A$4:$P$22</definedName>
    <definedName name="_ftn1" localSheetId="2">'Izračun po BB'!#REF!</definedName>
    <definedName name="_ftnref1" localSheetId="2">'Izračun po BB'!$A$1</definedName>
    <definedName name="AMIF" localSheetId="0">AMIF!#REF!</definedName>
    <definedName name="AMIF">BMVI!#REF!</definedName>
    <definedName name="BMVI" localSheetId="0">AMIF!#REF!</definedName>
    <definedName name="BMVI">BMVI!#REF!</definedName>
    <definedName name="povečanje_vrednosti" localSheetId="0">AMIF!#REF!</definedName>
    <definedName name="povečanje_vrednosti">BMVI!#REF!</definedName>
    <definedName name="solver_eng" localSheetId="0" hidden="1">1</definedName>
    <definedName name="solver_eng" localSheetId="1" hidden="1">1</definedName>
    <definedName name="solver_neg" localSheetId="0" hidden="1">1</definedName>
    <definedName name="solver_neg" localSheetId="1" hidden="1">1</definedName>
    <definedName name="solver_num" localSheetId="0" hidden="1">0</definedName>
    <definedName name="solver_num" localSheetId="1" hidden="1">0</definedName>
    <definedName name="solver_opt" localSheetId="0" hidden="1">AMIF!#REF!</definedName>
    <definedName name="solver_opt" localSheetId="1" hidden="1">BMVI!#REF!</definedName>
    <definedName name="solver_typ" localSheetId="0" hidden="1">1</definedName>
    <definedName name="solver_typ" localSheetId="1" hidden="1">1</definedName>
    <definedName name="solver_val" localSheetId="0" hidden="1">0</definedName>
    <definedName name="solver_val" localSheetId="1" hidden="1">0</definedName>
    <definedName name="solver_ver" localSheetId="0" hidden="1">3</definedName>
    <definedName name="solver_ver" localSheetId="1" hidden="1">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3" l="1"/>
  <c r="H16" i="3" s="1"/>
  <c r="B5" i="4" l="1"/>
  <c r="C29" i="1"/>
  <c r="C32" i="1" s="1"/>
  <c r="C34" i="1" s="1"/>
  <c r="G54" i="3"/>
  <c r="H6" i="1"/>
  <c r="G5" i="1"/>
  <c r="H5" i="1"/>
  <c r="I5" i="1"/>
  <c r="J5" i="1"/>
  <c r="K5" i="1"/>
  <c r="L5" i="1"/>
  <c r="M5" i="1"/>
  <c r="F5" i="1"/>
  <c r="F6" i="1"/>
  <c r="G6" i="1"/>
  <c r="G10" i="1"/>
  <c r="B3" i="4"/>
  <c r="B12" i="4"/>
  <c r="B6" i="4"/>
  <c r="R8" i="3"/>
  <c r="R6" i="3"/>
  <c r="R7" i="3"/>
  <c r="R31" i="3"/>
  <c r="B13" i="4"/>
  <c r="U47" i="3"/>
  <c r="T47" i="3"/>
  <c r="B8" i="4"/>
  <c r="B11" i="4"/>
  <c r="T48" i="3"/>
  <c r="B4" i="4"/>
  <c r="S44" i="3"/>
  <c r="S45" i="3"/>
  <c r="U48" i="3"/>
  <c r="U49" i="3"/>
  <c r="S48" i="3"/>
  <c r="R50" i="3"/>
  <c r="R69" i="3"/>
  <c r="R67" i="3"/>
  <c r="R65" i="3"/>
  <c r="R62" i="3"/>
  <c r="R61" i="3"/>
  <c r="W17" i="1"/>
  <c r="Y10" i="1"/>
  <c r="Y9" i="1"/>
  <c r="W9" i="1"/>
  <c r="W10" i="1"/>
  <c r="R47" i="3" l="1"/>
  <c r="S47" i="3" s="1"/>
  <c r="R51" i="3"/>
  <c r="G64" i="3"/>
  <c r="G15" i="3" l="1"/>
  <c r="G42" i="3"/>
  <c r="H37" i="3"/>
  <c r="H26" i="3"/>
  <c r="H27" i="3"/>
  <c r="H28" i="3"/>
  <c r="H29" i="3"/>
  <c r="F29" i="3" s="1"/>
  <c r="H30" i="3"/>
  <c r="H31" i="3"/>
  <c r="F31" i="3" s="1"/>
  <c r="H32" i="3"/>
  <c r="F32" i="3" s="1"/>
  <c r="H33" i="3"/>
  <c r="H34" i="3"/>
  <c r="H35" i="3"/>
  <c r="F35" i="3" s="1"/>
  <c r="F25" i="3"/>
  <c r="F26" i="3"/>
  <c r="F27" i="3"/>
  <c r="F28" i="3"/>
  <c r="F30" i="3"/>
  <c r="F33" i="3"/>
  <c r="F34" i="3"/>
  <c r="F37" i="3"/>
  <c r="H25" i="3"/>
  <c r="F22" i="3"/>
  <c r="F23" i="3"/>
  <c r="F24" i="3"/>
  <c r="H22" i="3"/>
  <c r="H23" i="3"/>
  <c r="H24" i="3"/>
  <c r="H21" i="3"/>
  <c r="I5" i="3" l="1"/>
  <c r="J5" i="3"/>
  <c r="K5" i="3"/>
  <c r="L5" i="3"/>
  <c r="M5" i="3"/>
  <c r="H66" i="3" l="1"/>
  <c r="G66" i="3"/>
  <c r="F66" i="3"/>
  <c r="H20" i="3" l="1"/>
  <c r="F21" i="3"/>
  <c r="F47" i="3"/>
  <c r="F52" i="3"/>
  <c r="G50" i="3"/>
  <c r="F68" i="3"/>
  <c r="R58" i="3"/>
  <c r="R59" i="3" s="1"/>
  <c r="I11" i="3"/>
  <c r="J11" i="3"/>
  <c r="K11" i="3"/>
  <c r="L11" i="3"/>
  <c r="M11" i="3"/>
  <c r="F11" i="3"/>
  <c r="G17" i="3"/>
  <c r="H17" i="3" s="1"/>
  <c r="G14" i="3"/>
  <c r="H14" i="3" s="1"/>
  <c r="G13" i="3"/>
  <c r="H13" i="3" s="1"/>
  <c r="G12" i="3"/>
  <c r="H12" i="3" s="1"/>
  <c r="H19" i="3"/>
  <c r="H18" i="3"/>
  <c r="H15" i="3"/>
  <c r="I46" i="3"/>
  <c r="J46" i="3"/>
  <c r="K46" i="3"/>
  <c r="L46" i="3"/>
  <c r="M46" i="3"/>
  <c r="I66" i="3"/>
  <c r="J66" i="3"/>
  <c r="K66" i="3"/>
  <c r="L66" i="3"/>
  <c r="M66" i="3"/>
  <c r="I6" i="3"/>
  <c r="J6" i="3"/>
  <c r="K6" i="3"/>
  <c r="L6" i="3"/>
  <c r="M6" i="3"/>
  <c r="F6" i="3"/>
  <c r="G10" i="3"/>
  <c r="H10" i="3" s="1"/>
  <c r="G9" i="3"/>
  <c r="G8" i="3"/>
  <c r="H8" i="3" s="1"/>
  <c r="F63" i="3"/>
  <c r="F62" i="3"/>
  <c r="F61" i="3"/>
  <c r="G61" i="3" s="1"/>
  <c r="H61" i="3" s="1"/>
  <c r="F60" i="3"/>
  <c r="F59" i="3"/>
  <c r="G59" i="3" s="1"/>
  <c r="M58" i="3"/>
  <c r="L58" i="3"/>
  <c r="K58" i="3"/>
  <c r="J58" i="3"/>
  <c r="I58" i="3"/>
  <c r="F45" i="3"/>
  <c r="G45" i="3" s="1"/>
  <c r="F44" i="3"/>
  <c r="G7" i="3"/>
  <c r="H7" i="3" s="1"/>
  <c r="F5" i="3" l="1"/>
  <c r="B7" i="4"/>
  <c r="B14" i="4" s="1"/>
  <c r="H11" i="3"/>
  <c r="G11" i="3"/>
  <c r="G5" i="3" s="1"/>
  <c r="F43" i="3"/>
  <c r="F58" i="3"/>
  <c r="G6" i="3"/>
  <c r="H59" i="3"/>
  <c r="G60" i="3"/>
  <c r="G62" i="3"/>
  <c r="H62" i="3" s="1"/>
  <c r="G63" i="3"/>
  <c r="H63" i="3" s="1"/>
  <c r="H45" i="3"/>
  <c r="G44" i="3"/>
  <c r="G43" i="3" s="1"/>
  <c r="H9" i="3"/>
  <c r="H6" i="3" s="1"/>
  <c r="H5" i="3" l="1"/>
  <c r="G58" i="3"/>
  <c r="H44" i="3"/>
  <c r="H43" i="3" s="1"/>
  <c r="H60" i="3"/>
  <c r="H58" i="3" l="1"/>
  <c r="F9" i="1" l="1"/>
  <c r="I21" i="1"/>
  <c r="J21" i="1"/>
  <c r="K21" i="1"/>
  <c r="L21" i="1"/>
  <c r="M21" i="1"/>
  <c r="G65" i="3"/>
  <c r="H65" i="3" s="1"/>
  <c r="H64" i="3" s="1"/>
  <c r="M64" i="3"/>
  <c r="L64" i="3"/>
  <c r="K64" i="3"/>
  <c r="J64" i="3"/>
  <c r="I64" i="3"/>
  <c r="F64" i="3"/>
  <c r="G47" i="3"/>
  <c r="F51" i="3"/>
  <c r="G51" i="3" s="1"/>
  <c r="H50" i="3"/>
  <c r="F49" i="3"/>
  <c r="G49" i="3" s="1"/>
  <c r="F48" i="3"/>
  <c r="M43" i="3"/>
  <c r="M42" i="3" s="1"/>
  <c r="G20" i="1"/>
  <c r="H20" i="1" s="1"/>
  <c r="G19" i="1"/>
  <c r="G18" i="1"/>
  <c r="F17" i="1"/>
  <c r="G17" i="1" s="1"/>
  <c r="F57" i="3" l="1"/>
  <c r="F46" i="3"/>
  <c r="F42" i="3" s="1"/>
  <c r="G48" i="3"/>
  <c r="G67" i="3"/>
  <c r="H67" i="3" s="1"/>
  <c r="H57" i="3" s="1"/>
  <c r="H47" i="3"/>
  <c r="L43" i="3"/>
  <c r="L42" i="3" s="1"/>
  <c r="M57" i="3"/>
  <c r="I43" i="3"/>
  <c r="I42" i="3" s="1"/>
  <c r="J43" i="3"/>
  <c r="J42" i="3" s="1"/>
  <c r="K43" i="3"/>
  <c r="K42" i="3" s="1"/>
  <c r="H51" i="3"/>
  <c r="H49" i="3"/>
  <c r="G8" i="1"/>
  <c r="G46" i="3" l="1"/>
  <c r="L57" i="3"/>
  <c r="K57" i="3"/>
  <c r="I57" i="3"/>
  <c r="J57" i="3"/>
  <c r="H48" i="3"/>
  <c r="H46" i="3" s="1"/>
  <c r="H42" i="3" s="1"/>
  <c r="H18" i="1" l="1"/>
  <c r="H8" i="1"/>
  <c r="H19" i="1"/>
  <c r="I6" i="1" l="1"/>
  <c r="J6" i="1"/>
  <c r="K6" i="1"/>
  <c r="L6" i="1"/>
  <c r="M6" i="1"/>
  <c r="F16" i="1" l="1"/>
  <c r="G16" i="1" l="1"/>
  <c r="G21" i="1" s="1"/>
  <c r="F21" i="1"/>
  <c r="H17" i="1"/>
  <c r="H16" i="1" l="1"/>
  <c r="H21" i="1" s="1"/>
  <c r="H7" i="1" l="1"/>
  <c r="H10" i="1" s="1"/>
  <c r="F7" i="1" l="1"/>
  <c r="F10" i="1" s="1"/>
  <c r="G57" i="3" l="1"/>
  <c r="T57" i="3" s="1"/>
</calcChain>
</file>

<file path=xl/sharedStrings.xml><?xml version="1.0" encoding="utf-8"?>
<sst xmlns="http://schemas.openxmlformats.org/spreadsheetml/2006/main" count="645" uniqueCount="306">
  <si>
    <t>Vsi 
projekti</t>
  </si>
  <si>
    <t>Šifra</t>
  </si>
  <si>
    <t>Nosilec vsebine</t>
  </si>
  <si>
    <t>Celoten znesek</t>
  </si>
  <si>
    <t xml:space="preserve">EU prispevek </t>
  </si>
  <si>
    <t>SLO udeležba</t>
  </si>
  <si>
    <t>MNZ - DM</t>
  </si>
  <si>
    <t>UOIM</t>
  </si>
  <si>
    <t>Policija</t>
  </si>
  <si>
    <t>Pakt o migracijah</t>
  </si>
  <si>
    <t>Implementacija EURODAC RECAST</t>
  </si>
  <si>
    <t>Zaposlitev 3 policijskih inšpektorjev na SMP za namene preverjanj v EURODAC</t>
  </si>
  <si>
    <t>Izvedba usposabljanj in pridobitev vozniške kategorije »D«</t>
  </si>
  <si>
    <t>GPU PA</t>
  </si>
  <si>
    <t>Namen je kritje stroškov za izvedbe usposabljanj in pridobitve vozniškega dovoljenja za vožnjo vozil kategorije D- vozila z več kot 9 sedeži. (8 oseb iz PU NM, PU MB in PU KP; ter po 4 iz PU MS, PU CE, PU NG, PU LJ, PU KR)I</t>
  </si>
  <si>
    <t>Namene je nakup vozil, ko bodo omogočala prevoze skupin tujcev, ki so na nedovoljen način vstopili ali nedovoljeno prebivajo v RS. (50 kombiniranih vozil in 3 mini buse, ter cca 70 otroških avtosedeže).</t>
  </si>
  <si>
    <t>Nakup prevoznih sredstev in opreme za prevoze tujcev</t>
  </si>
  <si>
    <t>Prostori za izvajanje Uredbe o preverjanju državljanov tretjih držav na zunanjih mejah</t>
  </si>
  <si>
    <t>MNZ DL</t>
  </si>
  <si>
    <t>Zagotovitev ustreznih prostorov za izvajanje Uredbe o preverjanju državljanov tretjih držav na zunanjih mejah. Potrebuje se pisarne za policiste, prevajalce, socialne delavce, zdravstveno osebje,… prostore za opravljanje razgovorov  z migranti, prostor za dolgotrajna pridržanja, prostor za izvajanje karantene ali izolacije,…. Prav tako mora biti objekt opremljen s funkcionalnimi prostori za zaposlene(WC, garderoba tuši, čajne kuhinje.</t>
  </si>
  <si>
    <t>Nadgradnja informacijskega sistema IKT za podporo migracijskim postopkom</t>
  </si>
  <si>
    <t>Vzpostavitev in delovanje neodvisnega nadzornega mehanizma</t>
  </si>
  <si>
    <t>Ocena ranljivosti (med sprejemnim in azilnim postopkom)</t>
  </si>
  <si>
    <t xml:space="preserve">Ocena starosti – multidisciplinarni postopek </t>
  </si>
  <si>
    <t>Operativna podpora</t>
  </si>
  <si>
    <t>Prevajanje in tolmačenje</t>
  </si>
  <si>
    <t>Pravno svetovanje in druga podpora v postopkih mednarodne zaščite</t>
  </si>
  <si>
    <t>Zagotavljanje brezplačnega svetovanja in pomoči v postopkih na prvi stopnji</t>
  </si>
  <si>
    <t>Otroci v migracijah – podpora v postopku mednarodne zaščite</t>
  </si>
  <si>
    <t>Podpora mladoletnikom brez spremstva</t>
  </si>
  <si>
    <r>
      <t>Vzpostavitev in delovanje neodvisnega nadzornega mehanizma</t>
    </r>
    <r>
      <rPr>
        <sz val="11"/>
        <color rgb="FF171717"/>
        <rFont val="Calibri"/>
        <family val="2"/>
        <charset val="238"/>
        <scheme val="minor"/>
      </rPr>
      <t xml:space="preserve"> </t>
    </r>
  </si>
  <si>
    <t>Ugotavljanje ranljivosti temelji predvsem na zdravniškem pregledu po prihodu v azilni dom ter na izjavah prosilca med vložitvijo prošnje in osebnim razgovorom. V zakonu ali v praksi ni določenega posebnega mehanizma za prepoznavanje ranljivih oseb. Med policijskim postopkom z migrantom se opravi ocena glede ranljivosti, kot so - mladoletnik brez spremstva, nosečnost in možnost trgovine z ljudmi. Ranljivost oseb se delno oceni med zdravniškim pregledom, ki se opravi pred vložitvijo prošnje za mednarodno zaščito, lahko pa se oceni tudi v poznejših fazah (vložitev, razgovor).</t>
  </si>
  <si>
    <t>Vzpostavitev multidisciplinarnega postopka ocenjevanja starosti v skladu z Direktivo 2024/1346/EU. Vpleteni: MDDSZ, Centri za socialno delo,…</t>
  </si>
  <si>
    <t>Poleg obstoječega projekta dodatne potrebe po 12 zaposlenih: 2 svetovalca na dublinskem oddelku in 10 novih odločevalcev na postopkih za mednarodno zaščito (12 svetovalcev na leto 264.000,00 EUR)</t>
  </si>
  <si>
    <t>Zagotavljanje zadostnih virov za kakovostno tolmačenje</t>
  </si>
  <si>
    <t>Svetovalci za begunce in vračanje po dublinu. Verjetno se bosta projekta ločila na dva:</t>
  </si>
  <si>
    <t>Zagotavljanje brezplačnega svetovanja in pomoči v postopkih na prvi stopnji.</t>
  </si>
  <si>
    <t>Vzpostavitev posebne kapacitete in obravnave za najbolj ranljive posameznike</t>
  </si>
  <si>
    <t>Ukrepi za hitro vključevanje v družbo za prosilce za mednarodno zaščito</t>
  </si>
  <si>
    <t>Vzpostavitev dodatnih integracijskih kapacitet</t>
  </si>
  <si>
    <r>
      <t xml:space="preserve">Celovito spremljanje zagotavljanja pravic prosilcem za mednarodno zaščito in osebam z mednarodno </t>
    </r>
    <r>
      <rPr>
        <sz val="10"/>
        <color rgb="FF000000"/>
        <rFont val="Arial"/>
        <family val="2"/>
        <charset val="238"/>
      </rPr>
      <t>zaščito  - digitalizacija</t>
    </r>
  </si>
  <si>
    <t>Najem poslovnih prostorov za izvajanje postopkov predvidenih v novem Pakrtu o migracijah in azilu</t>
  </si>
  <si>
    <t xml:space="preserve">Najem poslovnih prostorov za potrebe izvajanja postopkov preverjanja in mejnih postopkov mednarodne zaščite za obdobje od 1.7.2026 do 31.12.2029 (objekt bo nudil 197 mest za nastanitev). Potrebne površine za najem so med 2.500 m² do 3.000 m². Potrebne površine:
4 oddelki + jedilnica= 2.300 m² - 2.500 m²
Službeni + spremljajoči prostori= 350 m² - 450 m²
Mesečna ocena najema 80.000 EUR in ocena obratovalnih stroškov 20.000 EUR.
</t>
  </si>
  <si>
    <t>AMIF</t>
  </si>
  <si>
    <t>SKLAD</t>
  </si>
  <si>
    <t>BMVI</t>
  </si>
  <si>
    <t>Sklad-Specifični Cilj</t>
  </si>
  <si>
    <t>AMIF - Integracija</t>
  </si>
  <si>
    <t>AMIF-Vračanje</t>
  </si>
  <si>
    <t>BMVI-Meje</t>
  </si>
  <si>
    <t>BB</t>
  </si>
  <si>
    <t>BB1</t>
  </si>
  <si>
    <t>BB2</t>
  </si>
  <si>
    <t>BB3</t>
  </si>
  <si>
    <t>BB4</t>
  </si>
  <si>
    <t>BB5</t>
  </si>
  <si>
    <t>BB6</t>
  </si>
  <si>
    <t>BB7</t>
  </si>
  <si>
    <t>BB8</t>
  </si>
  <si>
    <t>BB9</t>
  </si>
  <si>
    <t>BB10</t>
  </si>
  <si>
    <t>Building Block (najustreznejši) iz priloge EK</t>
  </si>
  <si>
    <t>Intervencija</t>
  </si>
  <si>
    <t>AM.1.1.1</t>
  </si>
  <si>
    <t>Tabela 1</t>
  </si>
  <si>
    <t>Skupni evropski azilni sistem - pogoji za sprejem</t>
  </si>
  <si>
    <t>AM.1.1.2</t>
  </si>
  <si>
    <t>Skupni evropski azilni sistem - azilni postopki</t>
  </si>
  <si>
    <t>AM.1.1.3</t>
  </si>
  <si>
    <t>Skupni evropski azilni sistem - izvajanje pravnega reda Unije</t>
  </si>
  <si>
    <t>AM.1.1.4</t>
  </si>
  <si>
    <t>Skupni evropski azilni sistem - otroci v migracijah</t>
  </si>
  <si>
    <t>AM.1.1.5</t>
  </si>
  <si>
    <t>Skupni evropski azilni sistem - osebe s posebnimi potrebami glede sprejema in postopkovnimi potrebami</t>
  </si>
  <si>
    <t>AM.1.1.6</t>
  </si>
  <si>
    <t>Skupni evropski azilni sistem - programi Unije za preselitev ali nacionalni sistemi za preselitev in humanitarni sprejem (2g Priloge III)</t>
  </si>
  <si>
    <t>AM.1.1.7</t>
  </si>
  <si>
    <t>Skupni evropski azilni sistem - operativna podpora</t>
  </si>
  <si>
    <t>AM.1.2.1</t>
  </si>
  <si>
    <t>Zakonite migracije in vključevanje - razvoj strategij vključevanja</t>
  </si>
  <si>
    <t>AM.1.2.10</t>
  </si>
  <si>
    <t>Zakonite migracije in vključevanje - pridobitev statusa zakonitega prebivanja</t>
  </si>
  <si>
    <t>AM.1.2.11</t>
  </si>
  <si>
    <t>Zakonite migracije in vključevanje - ranljive osebe, vključno z mladoletniki brez spremstva</t>
  </si>
  <si>
    <t>AM.1.2.12</t>
  </si>
  <si>
    <t>Zakonite migracije in vključevanje - operativna podpora</t>
  </si>
  <si>
    <t>AM.1.2.2</t>
  </si>
  <si>
    <t>Zakonite migracije in vključevanje - žrtve trgovine z ljudmi</t>
  </si>
  <si>
    <t>AM.1.2.3</t>
  </si>
  <si>
    <t>Zakonite migracije in vključevanje - ukrepi za vključevanje – informiranje in usmerjanje, točke „vse na enem mestu“</t>
  </si>
  <si>
    <t>AM.1.2.4</t>
  </si>
  <si>
    <t>Zakonite migracije in vključevanje - ukrepi za vključevanje – jezikovno usposabljanje</t>
  </si>
  <si>
    <t>AM.1.2.5</t>
  </si>
  <si>
    <t>Zakonite migracije in vključevanje - ukrepi za vključevanje – državljanska vzgoja in druga usposabljanja</t>
  </si>
  <si>
    <t>AM.1.2.6</t>
  </si>
  <si>
    <t>Zakonite migracije in vključevanje - ukrepi za vključevanje – uvajanje, udeležba in stiki z družbo gostiteljico</t>
  </si>
  <si>
    <t>AM.1.2.7</t>
  </si>
  <si>
    <t>Zakonite migracije in vključevanje - ukrepi za vključevanje – osnovne potrebe</t>
  </si>
  <si>
    <t>AM.1.2.8</t>
  </si>
  <si>
    <t>Zakonite migracije in vključevanje - ukrepi pred odhodom</t>
  </si>
  <si>
    <t>AM.1.2.9</t>
  </si>
  <si>
    <t>Zakonite migracije in vključevanje - programi mobilnosti</t>
  </si>
  <si>
    <t>AM.1.3.1</t>
  </si>
  <si>
    <t>Vračanje - alternative pridržanju</t>
  </si>
  <si>
    <t>AM.1.3.10</t>
  </si>
  <si>
    <t>Vračanje - operativna podpora</t>
  </si>
  <si>
    <t>AM.1.3.2</t>
  </si>
  <si>
    <t>Vračanje - pogoji za sprejem/pridržanje</t>
  </si>
  <si>
    <t>AM.1.3.3</t>
  </si>
  <si>
    <t>Vračanje - postopki vračanja</t>
  </si>
  <si>
    <t>AM.1.3.4</t>
  </si>
  <si>
    <t>Vračanje - pomoč pri prostovoljnem vračanju</t>
  </si>
  <si>
    <t>AM.1.3.5</t>
  </si>
  <si>
    <t>Vračanje - pomoč pri reintegraciji</t>
  </si>
  <si>
    <t>AM.1.3.6</t>
  </si>
  <si>
    <t>Vračanje - operacije odstranitve/vračanja</t>
  </si>
  <si>
    <t>AM.1.3.7</t>
  </si>
  <si>
    <t>Vračanje - sistem za spremljanje prisilnega vračanja</t>
  </si>
  <si>
    <t>AM.1.3.8</t>
  </si>
  <si>
    <t>Vračanje - ranljive osebe, vključno z mladoletniki brez spremstva</t>
  </si>
  <si>
    <t>AM.1.3.9</t>
  </si>
  <si>
    <t>Vračanje - ukrepi za odpravljanje spodbud za nedovoljene migracije</t>
  </si>
  <si>
    <t>Azil - pogoji za sprejem</t>
  </si>
  <si>
    <t>Azil - azilni postopki</t>
  </si>
  <si>
    <t>Azil - izvajanje pravnega reda Unije</t>
  </si>
  <si>
    <t>Azil - otroci v migracijah</t>
  </si>
  <si>
    <t>Azil - osebe s posebnimi potrebami glede sprejema in postopkovnimi potrebami</t>
  </si>
  <si>
    <t>Azil - programi Unije za preselitev ali nacionalni sistemi za preselitev in humanitarni sprejem (2g Priloge III)</t>
  </si>
  <si>
    <t>Azil - operativna podpora</t>
  </si>
  <si>
    <t>Integracija- razvoj strategij vključevanja</t>
  </si>
  <si>
    <t>Integracija- pridobitev statusa zakonitega prebivanja</t>
  </si>
  <si>
    <t>Integracija- ranljive osebe, vključno z mladoletniki brez spremstva</t>
  </si>
  <si>
    <t>Integracija- operativna podpora</t>
  </si>
  <si>
    <t>Integracija- žrtve trgovine z ljudmi</t>
  </si>
  <si>
    <t>Integracija- ukrepi za vključevanje – informiranje in usmerjanje, točke „vse na enem mestu“</t>
  </si>
  <si>
    <t>Integracija- ukrepi za vključevanje – jezikovno usposabljanje</t>
  </si>
  <si>
    <t>Integracija- ukrepi za vključevanje – državljanska vzgoja in druga usposabljanja</t>
  </si>
  <si>
    <t>Integracija- ukrepi za vključevanje – uvajanje, udeležba in stiki z družbo gostiteljico</t>
  </si>
  <si>
    <t>Integracija- ukrepi za vključevanje – osnovne potrebe</t>
  </si>
  <si>
    <t>Integracija- ukrepi pred odhodom</t>
  </si>
  <si>
    <t>Integracija- programi mobilnosti</t>
  </si>
  <si>
    <t>B.1.1.1</t>
  </si>
  <si>
    <t>Evropsko integrirano upravljanje meja - Mejne kontrole</t>
  </si>
  <si>
    <t>B.1.1.10</t>
  </si>
  <si>
    <t>Evropsko integrirano upravljanje meja - obdelava podatkov in informacij</t>
  </si>
  <si>
    <t>B.1.1.11</t>
  </si>
  <si>
    <t>Evropsko integrirano upravljanje meja - žariščna območja</t>
  </si>
  <si>
    <t>B.1.1.12</t>
  </si>
  <si>
    <t>Evropsko integrirano upravljanje meja - ukrepi v zvezi z identifikacijo in napotitvijo ranljivih oseb</t>
  </si>
  <si>
    <t>B.1.1.13</t>
  </si>
  <si>
    <t>Evropsko integrirano upravljanje meja - ukrepi v zvezi z identifikacijo in napotitvijo oseb, ki potrebujejo mednarodno zaščito ali želijo zaprositi zanjo</t>
  </si>
  <si>
    <t>B.1.1.14</t>
  </si>
  <si>
    <t>Evropsko integrirano upravljanje meja - razvoj evropske mejne in obalne straže</t>
  </si>
  <si>
    <t>B.1.1.15</t>
  </si>
  <si>
    <t>Evropsko integrirano upravljanje meja - medagencijsko sodelovanje na nacionalni ravni</t>
  </si>
  <si>
    <t>B.1.1.16</t>
  </si>
  <si>
    <t>Evropsko integrirano upravljanje meja - medagencijsko sodelovanje na ravni Evropske unije</t>
  </si>
  <si>
    <t>B.1.1.17</t>
  </si>
  <si>
    <t>Evropsko integrirano upravljanje meja - medagencijsko sodelovanje s tretjimi državami</t>
  </si>
  <si>
    <t>B.1.1.18</t>
  </si>
  <si>
    <t>Evropsko integrirano upravljanje meja - napotitev skupnih uradnikov za zvezo za priseljevanje</t>
  </si>
  <si>
    <t>B.1.1.19</t>
  </si>
  <si>
    <t>Evropsko integrirano upravljanje meja - obsežni informacijski sistemi – Eurodac za namene upravljanja meja</t>
  </si>
  <si>
    <t>B.1.1.2</t>
  </si>
  <si>
    <t>Evropsko integrirano upravljanje meja - varovanje meja – zračna oprema</t>
  </si>
  <si>
    <t>B.1.1.20</t>
  </si>
  <si>
    <t>Evropsko integrirano upravljanje meja - obsežni informacijski sistemi – sistem vstopa/izstopa (SVI)</t>
  </si>
  <si>
    <t>B.1.1.21</t>
  </si>
  <si>
    <t>Evropsko integrirano upravljanje meja - obsežni informacijski sistemi – evropski sistem za potovalne informacije in odobritve (ETIAS) - drugi</t>
  </si>
  <si>
    <t>B.1.1.22</t>
  </si>
  <si>
    <t>Evropsko integrirano upravljanje meja - obsežni informacijski sistemi – evropski sistem za potovalne informacije in odobritve (ETIAS) - člen 85(2) Uredbe EU 2018/1240</t>
  </si>
  <si>
    <t>B.1.1.23</t>
  </si>
  <si>
    <t>Evropsko integrirano upravljanje meja - obsežni informacijski sistemi – evropski sistem za potovalne informacije in odobritve (ETIAS) - člen 85(3) Uredbe EU 2018/1240</t>
  </si>
  <si>
    <t>B.1.1.24</t>
  </si>
  <si>
    <t>Evropsko integrirano upravljanje meja - obsežni informacijski sistemi – schengenski informacijski sistem (SIS)</t>
  </si>
  <si>
    <t>B.1.1.25</t>
  </si>
  <si>
    <t>Evropsko integrirano upravljanje meja - obsežni informacijski sistemi – interoperabilnost</t>
  </si>
  <si>
    <t>B.1.1.26</t>
  </si>
  <si>
    <t>Evropsko integrirano upravljanje meja - operativna podpora – integrirano upravljanje meja</t>
  </si>
  <si>
    <t>B.1.1.27</t>
  </si>
  <si>
    <t>Evropsko integrirano upravljanje meja - operativna podpora – obsežni informacijski sistemi za namene upravljanja meja</t>
  </si>
  <si>
    <t>B.1.1.28</t>
  </si>
  <si>
    <t>Evropsko integrirano upravljanje meja - operativna podpora – posebna tranzitna shema</t>
  </si>
  <si>
    <t>B.1.1.29</t>
  </si>
  <si>
    <t>Evropsko integrirano upravljanje meja -kakovost podatkov in pravice posameznikov, na katere se nanašajo osebni podatki, do informacij ter dostopa, popravka in izbrisa njihovih osebnih podatkov ter do omejitveobdelave navedenih podatkov</t>
  </si>
  <si>
    <t>B.1.1.3</t>
  </si>
  <si>
    <t>Evropsko integrirano upravljanje meja - varovanje meja – kopenska oprema</t>
  </si>
  <si>
    <t>B.1.1.4</t>
  </si>
  <si>
    <t>Evropsko integrirano upravljanje meja - varovanje meja – pomorska oprema</t>
  </si>
  <si>
    <t>B.1.1.5</t>
  </si>
  <si>
    <t>Evropsko integrirano upravljanje meja - varovanje meja – sistemi avtomatiziranega varovanja meja</t>
  </si>
  <si>
    <t>B.1.1.6</t>
  </si>
  <si>
    <t>Evropsko integrirano upravljanje meja - varovanje meja – drugi ukrepi</t>
  </si>
  <si>
    <t>B.1.1.7</t>
  </si>
  <si>
    <t>Evropsko integrirano upravljanje meja - tehnični in operativni ukrepi na schengenskem območju, ki so povezani z nadzorom meja</t>
  </si>
  <si>
    <t>B.1.1.8</t>
  </si>
  <si>
    <t>Evropsko integrirano upravljanje meja - situacijsko zavedanje in izmenjava informacij</t>
  </si>
  <si>
    <t>B.1.1.9</t>
  </si>
  <si>
    <t>Evropsko integrirano upravljanje meja - analiza tveganja</t>
  </si>
  <si>
    <t>BMVI - obdelava podatkov in informacij</t>
  </si>
  <si>
    <t>BMVI - varovanje meja – zračna oprema</t>
  </si>
  <si>
    <t>BMVI - varovanje meja – kopenska oprema</t>
  </si>
  <si>
    <t>BMVI - varovanje meja – pomorska oprema</t>
  </si>
  <si>
    <t>BMVI - varovanje meja – sistemi avtomatiziranega varovanja meja</t>
  </si>
  <si>
    <t>BMVI - varovanje meja – drugi ukrepi</t>
  </si>
  <si>
    <t>BMVI - tehnični in operativni ukrepi na schengenskem območju, ki so povezani z nadzorom meja</t>
  </si>
  <si>
    <t>BMVI - situacijsko zavedanje in izmenjava informacij</t>
  </si>
  <si>
    <t>BMVI - analiza tveganja</t>
  </si>
  <si>
    <t>BMVI - žariščna območja</t>
  </si>
  <si>
    <t>BMVI - ukrepi v zvezi z identifikacijo in napotitvijo ranljivih oseb</t>
  </si>
  <si>
    <t>BMVI - ukrepi v zvezi z identifikacijo in napotitvijo oseb, ki potrebujejo mednarodno zaščito ali želijo zaprositi zanjo</t>
  </si>
  <si>
    <t>BMVI - razvoj evropske mejne in obalne straže</t>
  </si>
  <si>
    <t>BMVI - medagencijsko sodelovanje na nacionalni ravni</t>
  </si>
  <si>
    <t>BMVI - medagencijsko sodelovanje na ravni Evropske unije</t>
  </si>
  <si>
    <t>BMVI - medagencijsko sodelovanje s tretjimi državami</t>
  </si>
  <si>
    <t>BMVI - napotitev skupnih uradnikov za zvezo za priseljevanje</t>
  </si>
  <si>
    <t>BMVI - obsežni informacijski sistemi – Eurodac za namene upravljanja meja</t>
  </si>
  <si>
    <t>BMVI - obsežni informacijski sistemi – sistem vstopa/izstopa (SVI)</t>
  </si>
  <si>
    <t>BMVI - obsežni informacijski sistemi – evropski sistem za potovalne informacije in odobritve (ETIAS) - drugi</t>
  </si>
  <si>
    <t>BMVI - obsežni informacijski sistemi – evropski sistem za potovalne informacije in odobritve (ETIAS) - člen 85(2) Uredbe EU 2018/1240</t>
  </si>
  <si>
    <t>BMVI - obsežni informacijski sistemi – evropski sistem za potovalne informacije in odobritve (ETIAS) - člen 85(3) Uredbe EU 2018/1240</t>
  </si>
  <si>
    <t>BMVI - obsežni informacijski sistemi – schengenski informacijski sistem (SIS)</t>
  </si>
  <si>
    <t>BMVI - obsežni informacijski sistemi – interoperabilnost</t>
  </si>
  <si>
    <t>BMVI - operativna podpora – integrirano upravljanje meja</t>
  </si>
  <si>
    <t>BMVI - operativna podpora – obsežni informacijski sistemi za namene upravljanja meja</t>
  </si>
  <si>
    <t>BMVI - operativna podpora – posebna tranzitna shema</t>
  </si>
  <si>
    <t>BMVI -kakovost podatkov in pravice posameznikov, na katere se nanašajo osebni podatki, do informacij ter dostopa, popravka in izbrisa njihovih osebnih podatkov ter do omejitveobdelave navedenih podatkov</t>
  </si>
  <si>
    <t>AMIF - Azil</t>
  </si>
  <si>
    <t>Intervencija iz Annex VI - Uredba BMVI in AMIF</t>
  </si>
  <si>
    <t>GPU UUP</t>
  </si>
  <si>
    <t>GPU UIT in Podskupina za IT</t>
  </si>
  <si>
    <t>All BBs</t>
  </si>
  <si>
    <t>GPU SGDP skupaj z GPU UUP</t>
  </si>
  <si>
    <t>MP</t>
  </si>
  <si>
    <t>Krepitev pravosodnih zmogljivosti za učinkovito izvajanje Pakta o migracijah in azilu (ang. Strengthening judicial capacity for effective implementation of Pact on Migration and Asylum)</t>
  </si>
  <si>
    <t>Namen operacije je preučiti in nasloviti ustreznost kadrovskih in drugih virov pravosodnih deležnikov z vidika učinkovitega izvajanja sodnega varstva prosilcev v postopkih mednarodne zaščite.
Cilj operacije je okrepiti zmogljivosti Upravnega sodišča ter drugih pristojnih pravosodnih deležnikov za izvajanje učinkovitih postopkov mednarodne zaščite v skladu s paktom. Krepitev zmogljivosti je predvidena tako na kadrovskem področju, kot tudi z vidika zagotovitve ustreznih prostorov, opreme in izobraževanj.</t>
  </si>
  <si>
    <t xml:space="preserve">Namen operacije je vzpostaviti ločeno sprejemno kapaciteto, v katero bi bilo mogoče nastaniti do 50 posameznikov, ki imajo posebne potrebe glede sprejema in za katere bi bila namestitev v druge kapacitete neprimerna in vzpostavitev tima, ki bi obravnaval sume nasilja po spolu, trgovino z ljudmi in nudil žrtvam posebno psihosocialno oskrbo. S tem bi se zagotovili vsi potrebni zaščiti ukrepi za prosilce za mednarodno zaščito in ranljive osebe.
Cilj operacije je zagotoviti celostno, po potrebi tudi 24 urno oskrbo, za najbolj ranljive osebe preko ločene infrastrukture, ki je prilagojena tudi glede na fizične potrebe po namestitvi. 
V nastanitvenih zmogljivostih za prosilce s posebnimi potrebami za sprejem bo treba zaposliti strokovnega delavca, ki bo koordiniral delo in izvajal naloge na področju nastanitve in oskrbe prosilcev, vodenja razgovorov in svetovanja, organiziranja in zagotavljanja psihosocialne pomoči ter drugih nalog, in sicer v razmerju en strokovni delavec na tri uporabnike. Predvidena je tudi zaposlitev enega strokovnega delavca na vsakih 20 uporabnikov, ki bo opravljal naloge na področju nastanitve in materialne oskrbe prosilcev. V dodatnih nastanitvenih zmogljivostih bo treba zagotoviti tudi varovanje, čiščenje, oskrbo s hrano ter storitve prevajanja in tolmačenja, kar bo zagotovljeno s pomočjo zunanjih izvajalcev. Za zagotavljanje zdravstvene oskrbe bo treba skleniti pogodbe z zunanjimi izvajalci (zdravniki) in po potrebi z drugim zdravstvenim osebjem (medicinskimi sestrami, psihiatri in psihoterapevti). Načrtuje se tudi zaposlitev kulturnih mediatorjev.
Povprečno bi bilo v kapaciteti nastanjenih 30 oseb. 
</t>
  </si>
  <si>
    <t xml:space="preserve">Namen operacije je vzpostaviti posebno namestitveno kapaciteto in obravnavo za prosilce za mednarodno zaščito, ki bodo v postopku predaje odgovorni državi članici.  Namen je tako tudi fizično ločiti osebe, ki imajo po novem paktu različen obseg pravic.
Cilje operacije je zagotavljati fizično infrastrukturo za 200 prosilcev za mednarodno zaščito in njihovo osnovno materialno oskrbo. 
V skladu s standardi EUAA je v zmogljivosti za prosilce v postopku vračanja predvidena zaposlitev enega strokovnega delavca na 20 prosilcev za mednarodno zaščito, ki bo opravljal naloge na področju nastanitve in materialne oskrbe prosilcev, in enega zaposlenega strokovnega delavca na 50 prosilcev, ki bo odgovoren za usklajevanje dela in nalog na področju nastanitve in oskrbe ter po potrebi vodenje razgovorov in svetovanje.
Osnovna materialna oskrba vključuje namestitev (kamor so vključeni tudi stroški varovanja in čiščenja) in prehrane. 
</t>
  </si>
  <si>
    <t xml:space="preserve">Namen operacije je zagotoviti prosilcem za mednarodno zaščito pravice do pomoči pri vključevanju v družbo, vključno z informiranjem, tako kot to določa nova sprejemna direktiva.
Trenutno veljaven Zakon o mednarodni zaščiti prosilcem zagotavlja samo pravico do informiranja, medtem ko se drugi programi izvajajo na podlagi javnih razpisov. Z novo direktivo postajajo tečaji slovenskega jezika in spoznavanja slovenske družbe ena izmed pravic prosilcem za mednarodno zaščito, zato bo potrebno te programe okrepiti. Ravno tako direktiva kot tudi druga priporočila EUAA dajejo državam nalogo po prilagojenem informiranju prosilcev na mednarodno zaščito (npr. za otroke, mladoletnike brez spremstva, osebe s težavami z vidom…). Trenutni materiali za informiranje prosilcev se bodo morali prilagoditi. 
Cilj operacije je zagotovitev tečaja slovenskega jezika, programov opismenjevanja in tečaja spoznavanja slovenske družbe za vse upravičene prosilce za mednarodno zaščito.
Ravno tako je cilj operacije zagotoviti učinkovito informiranje prosilcev za mednarodno zaščito. Za dosego cilja bi radi vzpostavili posebne materiale (tudi video-vsebine) in zagotovili ekrane ter drugo infrastrukturo za učinkovito posredovanje informacij vsem prosilcem za mednarodno zaščito.
Z omenjenimi programi se bodo osebe lahko hitreje vključevali v družbo, bolj bodo ozaveščeni o njihovih pravicah (npr. da ne bi postali žrtev izkoriščanja na trgu dela) in tudi o njihovih dolžnostih ter posledicah, ki bi jim kršitve zakonodaje lahko prinesle.
Za dosego ciljev pa bo potrebno zagotavljati tudi več ur tolmačenja in prevajanja morebitnih dokumentov za prosilce za mednarodno zaščito. 
</t>
  </si>
  <si>
    <t xml:space="preserve">Namen operacije je poenostavitev postopkov v sprejemnem sistemu in ukrepih vključevanja preko digitalizacije, kar bi prineslo osebam lažje in hitrejše uveljavljanje svojih pravic, upravljalcem sistema pa bi prihranilo kadrovske vire, omogočilo analize in izboljšalo možnosti za boljše upravljanje in načrtovanje sistema.
Cilj operacije je vzpostaviti integriran sistem upravljanja sprejemnih in drugih namestitvenih zmogljivosti ter spremljanja uveljavljanja pravic prosilcev in oseb z mednarodno zaščito.
Tako je namen doseči učinkovit način spremljanja vstopov in izstopov iz objekta, omogočiti prosilcem dostop znotraj namestitvenih kapacitet samo do prostorov ter storitev do katerih so upravičeni. Potrebno bo vzpostaviti nov informacijski sistem, ki bo povezan tako z azilnim registrom kot tudi drugimi evidencami (npr, evidenco oseb zavarovanih na podlagi prispevkov iz zaposlitve), poleg tega pa tudi fizično infrastrukturo (izdelava posebnih kartic, čitalci QR kod, elektronske podpisne tablice, posebni sistema odpiranja vrat. 
Sistem bo potrebno vzdrževati skozi celotno obdobje in ga morebitno dodatno nadgrajevati, da bo varen pred kibernetskimi napadi.
</t>
  </si>
  <si>
    <t xml:space="preserve">Namen operacije je povečati kapacitete t.i. integracijskih hiš, torej namestitev, ki bi jih osebe z mednarodno zaščito lahko koristile takoj po pridobitvi statusa mednarodne zaščite in še nadalje omogočati delovanje že vzpostavljenih kapacitet, katere ima urad deloma v lasti, deloma v najemu.
Urad trenutno razpolaga z dvema integracijskima hišama ter stanovanji, ki jih je za ta namen pridobil v uporabo od občinskih stanovanjskih skladov. Kapacitete so ves čas zasedene več kot 90%, razmere na stanovanjskem trgu pa so se v zadnjih letih še dodatno zaostrile. V zadnjih dveh letih se je močno povečalo število oseb, ki pridobijo mednarodno zaščito, ob upoštevanju kritnih razmer v Ukrajini in drugod po svetu, pa ni mogoče pričakovati, da bi število teh oseb upadlo.
Cilj operacije je povečanje kapacitet, ki bi bile namenjen za osebe s priznano mednarodno zaščito za dodatnih 100 postelj, torej skupno zagotavljanje kapacitet za 150 oseb.
</t>
  </si>
  <si>
    <t xml:space="preserve">Namen operacije je zagotavljanje podpore osebam z mednarodno zaščito pri vključevanju v slovensko družbo skozi individualna svetovanja ter spremljanja. Skozi individualno pomoč se osebam z mednarodno zaščito pomaga pri dostopu do njihovih pravic, ki izhajajo iz zakona in evropske uredbe, ravno tako pa se jih preko mesečnih razgovorov usmerja na poti njihovega vključevanja v družbo. 
Cilj operacije je okrepiti psihosocialno delo, ki ga izvajajo svetovalci za integracijo. Trenutno to delo opravlja 8 oseb, za kakovostno delo bi bilo potrebno vzpostaviti merilo, da en svetovalec za integracijo dela s 30 osebami v intenzivnejšem, prvem dvoletnem obdobju, zato načrtujemo dodatne tri zaposlitve. 
</t>
  </si>
  <si>
    <t>Zagotavljanje podpore osebam z mednarodno zaščito</t>
  </si>
  <si>
    <t>Tehnična pomoč (6%)</t>
  </si>
  <si>
    <t>BMVI -SA</t>
  </si>
  <si>
    <t>obstoječi program BMVI</t>
  </si>
  <si>
    <t>Skupaj SA BMVI - PAKT:</t>
  </si>
  <si>
    <t>Skupaj BMVI obstoječi program - PAKT:</t>
  </si>
  <si>
    <t>Pakt o migracijah BMVI</t>
  </si>
  <si>
    <t>Ker bo novi Eurodac poleg biometričnih podatkov o prstnih odtisih vseboval tudi biometrično fotografijo obraza in skene vseh potnih listin, ki jih ima oseba pri sebi, ter vse osebne podatke, postopke in odločitve v postopkih in ukrepih policije - odstranitve, vrnitve, zaradi številčnosti vseh podatkov ne bo mogel več delovati prek strežnika, temveč bo informacijske sisteme Policije (vključujoč AFIS) in Direktorata za migracije s centralnim sistemom in CIR povezal prek nacionalne dostopne točke, in sicer prek spletnih storitev. Vzpostavitev evidenc in serverja za biometrične podatke, ki vključuje zagotovitev ustreznih biometričnih evidenc, ki omogočajo primerjavo prstnih odtisov in obraznih potez -biometrija slike. Nakup opreme za zajem biometričnih podatkov obraza in papilarnih linij ter skeniranje dokumentov, ki vključuje zagotavljanje ustrezne (interoperabilno) opreme za zajem biometričnih podatkov obraza in papilarnih linij in za skeniranje dokumentov (za vnos v EURODAC in v ostale baze podatkov/evidence). Zagotovitev šolske naprava za izvedbo usposabljanj za nadaljnjo operativno delo. Zagotovitev ustrezne IT programske podpore za pripravo obrazca za preverjanje: Zagotovitev ustrezne IT programske podpore za pripravo obrazca za preverjanje (npr. skozi novo aplikacijo,ki vključuje procese za screening) ter deljenje elektronskih podatkov (data set) z vsemi deležniki (kot npr. MZ, MDDSZ, UOIM, Direktorat za mirgracije, Frontex, tuji varnostni organi). Vsebina vključuje: potrebe po opremi za enote GPU UIT, GPU UUP, GPU NFL, GPU PA in MNZ DM, razvoj nove aplikacije Migrant v Policiji, ki bo vključevala Screening postopek, razvoj posredniškega servisa za MNZ DM, integracija in potrebne nadgradnje AFIS, izvedba povezljivosti med rešitvami Policije in MNZ DM, usposabljanje, promocija in vzdrževanje.</t>
  </si>
  <si>
    <t>AMIF - SA</t>
  </si>
  <si>
    <t xml:space="preserve">Operativna podpora </t>
  </si>
  <si>
    <t>Strošk osebja, vzdrževanja opreme in prostorov.</t>
  </si>
  <si>
    <t>Skupaj DM - obstoječi program</t>
  </si>
  <si>
    <t>AMIF - obstoječi program - projekti vezani na PAKT</t>
  </si>
  <si>
    <t>Skupaj DM - dodatna sredstva 10%:</t>
  </si>
  <si>
    <t>Skupaj DM - AMIF SA:</t>
  </si>
  <si>
    <t>Recams</t>
  </si>
  <si>
    <t>AMIF - dodatna sredstva 10%  - Projekti vezani na pakt</t>
  </si>
  <si>
    <t>Skupaj Policija- obstoječi program</t>
  </si>
  <si>
    <t>Tekoči stroški/osnovna oskrba</t>
  </si>
  <si>
    <t>Zdravniška oskrba in psihosocialna oskrba</t>
  </si>
  <si>
    <t xml:space="preserve">Pravno svetovanja tujcem v postopku vračanja </t>
  </si>
  <si>
    <t>Nacionalna vračanja</t>
  </si>
  <si>
    <t>Prevajalske storitve v času nastanitve in priprav za vračanje</t>
  </si>
  <si>
    <t>Spremljanje odstranitve tujcev iz Republike Slovenije</t>
  </si>
  <si>
    <t>Zdravstveni pregledi in materialna oskrba prosilcev</t>
  </si>
  <si>
    <t>Informiranje prosilcev in prostočasne aktivnosti</t>
  </si>
  <si>
    <t>Opismenjevanje, učna pomoč in tečaji slovenskega jezika za prosilce</t>
  </si>
  <si>
    <t>Usposabljanje zakonitih zastopnikov, študijski obiski in supervizija</t>
  </si>
  <si>
    <t>Spremstva pri predaji in prevzemu tujcev in zagotavljanje varnostne službe, ki sodeluje pri prevozih</t>
  </si>
  <si>
    <t>Psihiatrična in psihoterapevtska podpora ter finančna pomoč za prosilce</t>
  </si>
  <si>
    <t>Preprečevanje trgovine z ljudmi, spolnega nasilja in podpora ženskam</t>
  </si>
  <si>
    <t>Zagotovitev nastanitve in oskrbe mladoletnikov brez spremstva</t>
  </si>
  <si>
    <t xml:space="preserve">Psihosocialna pomoč in prostočasne aktivnosti in mladoletnikov brez spremstva </t>
  </si>
  <si>
    <t>Stroški vzdrževanja opreme, infrastrukture in stroški plač zaposlenih</t>
  </si>
  <si>
    <t>Migranti za migrante</t>
  </si>
  <si>
    <t xml:space="preserve"> Tečaji in izpiti iz slovenskega jezika za državljane tretjih držav in osebe z mednarodno zaščito</t>
  </si>
  <si>
    <t xml:space="preserve">Dodatna podpora pri integraciji - Zagotavljanje ustrezne specialistične in druge strokovne obravnave ali pomoči </t>
  </si>
  <si>
    <t>Pomoč pri integraciji OMZ</t>
  </si>
  <si>
    <t>Zagotavljanje denarnih nadomestil za nastanitev na zasebnem naslovu za osebe z mednarodno zaščito</t>
  </si>
  <si>
    <t>Stroški plač zaposlenih, vzdrževanja prostorov in opreme</t>
  </si>
  <si>
    <t>Pomoč pri prostovoljnem vračanju</t>
  </si>
  <si>
    <t>Skupaj  UOIM - obstoječi program</t>
  </si>
  <si>
    <t>Namestitev in oskrba prosilcev za mednarodno zaščito</t>
  </si>
  <si>
    <t>Specifični cilj</t>
  </si>
  <si>
    <r>
      <t xml:space="preserve">Uveljavljanje stroškov dela  in zaposlitev dodatnega števila zaposlenih ter izvedbe usposabljanj  za izvajanje nalog povezanih s Paktom o migracijah in azilu  - </t>
    </r>
    <r>
      <rPr>
        <sz val="10"/>
        <color rgb="FF000000"/>
        <rFont val="Arial"/>
        <family val="2"/>
        <charset val="238"/>
      </rPr>
      <t>IT, EURODAC, obrazec za screening, delo s prevajalci, prepoznavanje ranljivosti (nasilje, THB ...), opravljanje razgovorov z otroci, pritožbeni postopki,...</t>
    </r>
  </si>
  <si>
    <t>Uveljavljanje stroškov dela  in zaposlitev dodatnega števila zaposlenih ter izvedbe usposabljanj  za izvajanje nalog povezanih s Paktom o migracijah in azilu</t>
  </si>
  <si>
    <t>Table 1 – Overall estimate of the financial needs for the initial phase of the Pact preparation and implementation for the period [please fill in][1]</t>
  </si>
  <si>
    <t xml:space="preserve">Building blocks </t>
  </si>
  <si>
    <t>Estimated costs for the implementation of the Pact on Asylum and Migration (Initial investment and operating costs)</t>
  </si>
  <si>
    <t xml:space="preserve">Comments on the cost concerned </t>
  </si>
  <si>
    <t>Nadgradnja informacijskega Sistema, Namestitev in oskrba prosilcev z mednarodno zaščito, zagotavljanje podpore osebam z mednarodno zaščito, ukrepi za hitro vključevanje v družbo za prosilce za mednarodno zaščito, celovito spremljanje zagotavljanje pravic osebam z mednarodno zaščito.</t>
  </si>
  <si>
    <t>Krepitev pravosodnih zmogljivosti za učinkovito izvajanje Pakta, dodatne zaposlitve na dublinskem oddelku in odločevalcev na postopkih za mednarodno zaščito</t>
  </si>
  <si>
    <t>Postopki vračanja</t>
  </si>
  <si>
    <t>EUR</t>
  </si>
  <si>
    <t>Najem prostorov za  policijsko preverjanje do 31.12.2029, izgradnja novih prostorov za ta namen, Vzpostavitev in delovanje neodvisnega nadzornega sistema, ocena ranljivosti, ocena starosti in otroci v migracijah, vzpostavitev kapacitete za najbolj ranljive posameznike</t>
  </si>
  <si>
    <t>Vzpostavitev dodatnih integracijskih kapacitetet</t>
  </si>
  <si>
    <t>Total</t>
  </si>
  <si>
    <t>EURODAC, usposabljanje</t>
  </si>
  <si>
    <t>Nakup vozil</t>
  </si>
  <si>
    <t>bb10</t>
  </si>
  <si>
    <t>bb4</t>
  </si>
  <si>
    <t>Za podporo migrracijskim postopkom bodo implementirane naslednje informacijske rešitve: 
1. Vzpostavitev aplikacije za samoregistracijo prošenj za mednarodno zaščito, kar bo vodilo v učinkovitejšo izvedbo azilnih postopkov. V to je vključeno tudi  usposabljanje, promocija in vzdrževanje; 
2. Nadgradnja uradne evidence (azilnega registra) zaradi izvajanja novega pravnega okvira na ravni EU, kar vključuje nadgradnjo obrazcev, šifrantov ter spletnih servisov za izmenjavo podatkov z zbirkami podatkov nacionalnih deležnikov (UOIM in Policija). 
3. Avtomatizacija upravnih aktov v postopkih mednarodne zaščite. Priprava IKT rešitve, ki bo omogočila samodejni prenos podatkov na upravni akt, v skladu z vnaprej definiranimi statusnimi parametri osebe.
4. Vzpostavitev nadgrajenega podatkovnega skladišča, ki bo vseboval tudi analitično orodje za spremljanje migracijskih trendov ter optimizirano izvažanje ter grafično prikazovanje statističnih podatkov. Hkrati bo omogočen izvoz podatkov podatkov za poročanje EU institucijam in agencijam v skladu z evropsko zakonodajo. Vključeno tudi usposabljanje ter vzdrževanje vzpostavljenega sistema.</t>
  </si>
  <si>
    <t>Nadgradnja obstoječe RECAMAS aplikacije, ki vključuje funkcionalnosti, ki jih zahteva implementacije Pakta.</t>
  </si>
  <si>
    <t>Pakt o migracijah - 22.4.2025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</si>
</sst>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charset val="238"/>
      <scheme val="minor"/>
    </font>
    <font>
      <b/>
      <sz val="11"/>
      <color theme="1"/>
      <name val="Calibri"/>
      <family val="2"/>
      <charset val="238"/>
      <scheme val="minor"/>
    </font>
    <font>
      <sz val="9"/>
      <color theme="1"/>
      <name val="Arial"/>
      <family val="2"/>
      <charset val="238"/>
    </font>
    <font>
      <b/>
      <sz val="9"/>
      <color theme="1"/>
      <name val="Arial"/>
      <family val="2"/>
      <charset val="238"/>
    </font>
    <font>
      <sz val="9"/>
      <name val="Arial"/>
      <family val="2"/>
      <charset val="238"/>
    </font>
    <font>
      <sz val="10"/>
      <color theme="1"/>
      <name val="Arial"/>
      <family val="2"/>
      <charset val="238"/>
    </font>
    <font>
      <sz val="10"/>
      <color rgb="FF000000"/>
      <name val="Arial"/>
      <family val="2"/>
      <charset val="238"/>
    </font>
    <font>
      <sz val="11"/>
      <color rgb="FF171717"/>
      <name val="Calibri"/>
      <family val="2"/>
      <charset val="238"/>
      <scheme val="minor"/>
    </font>
    <font>
      <b/>
      <sz val="16"/>
      <color theme="1"/>
      <name val="Calibri"/>
      <family val="2"/>
      <charset val="238"/>
      <scheme val="minor"/>
    </font>
    <font>
      <b/>
      <sz val="9"/>
      <name val="Arial"/>
      <family val="2"/>
      <charset val="238"/>
    </font>
    <font>
      <sz val="10"/>
      <color rgb="FF333333"/>
      <name val="Arial"/>
      <family val="2"/>
      <charset val="238"/>
    </font>
    <font>
      <sz val="10"/>
      <color rgb="FF212121"/>
      <name val="Arial"/>
      <family val="2"/>
      <charset val="238"/>
    </font>
    <font>
      <sz val="10"/>
      <name val="Arial"/>
      <family val="2"/>
      <charset val="238"/>
    </font>
    <font>
      <b/>
      <sz val="10"/>
      <color theme="1"/>
      <name val="Arial"/>
      <family val="2"/>
      <charset val="238"/>
    </font>
    <font>
      <b/>
      <sz val="14"/>
      <color theme="1"/>
      <name val="Arial"/>
      <family val="2"/>
      <charset val="238"/>
    </font>
    <font>
      <b/>
      <sz val="10"/>
      <color rgb="FF000000"/>
      <name val="Arial"/>
      <family val="2"/>
      <charset val="238"/>
    </font>
    <font>
      <sz val="8"/>
      <name val="Calibri"/>
      <family val="2"/>
      <charset val="238"/>
      <scheme val="minor"/>
    </font>
    <font>
      <sz val="11"/>
      <color theme="1"/>
      <name val="Calibri"/>
      <family val="2"/>
      <charset val="238"/>
      <scheme val="minor"/>
    </font>
    <font>
      <sz val="9"/>
      <color rgb="FFFF0000"/>
      <name val="Arial"/>
      <family val="2"/>
      <charset val="238"/>
    </font>
    <font>
      <u/>
      <sz val="11"/>
      <color theme="10"/>
      <name val="Calibri"/>
      <family val="2"/>
      <charset val="238"/>
      <scheme val="minor"/>
    </font>
  </fonts>
  <fills count="13">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rgb="FFFFFFFF"/>
        <bgColor indexed="64"/>
      </patternFill>
    </fill>
    <fill>
      <patternFill patternType="solid">
        <fgColor rgb="FFF6F8F9"/>
        <bgColor indexed="64"/>
      </patternFill>
    </fill>
    <fill>
      <patternFill patternType="solid">
        <fgColor rgb="FFDEE4E9"/>
        <bgColor indexed="64"/>
      </patternFill>
    </fill>
    <fill>
      <patternFill patternType="solid">
        <fgColor theme="9" tint="0.79998168889431442"/>
        <bgColor indexed="64"/>
      </patternFill>
    </fill>
    <fill>
      <patternFill patternType="solid">
        <fgColor rgb="FFFFC000"/>
        <bgColor indexed="64"/>
      </patternFill>
    </fill>
    <fill>
      <patternFill patternType="solid">
        <fgColor rgb="FF4472C4"/>
        <bgColor indexed="64"/>
      </patternFill>
    </fill>
    <fill>
      <patternFill patternType="solid">
        <fgColor rgb="FFDEEAF6"/>
        <bgColor indexed="64"/>
      </patternFill>
    </fill>
    <fill>
      <patternFill patternType="solid">
        <fgColor rgb="FFFFF2CC"/>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0" fontId="19" fillId="0" borderId="0" applyNumberFormat="0" applyFill="0" applyBorder="0" applyAlignment="0" applyProtection="0"/>
  </cellStyleXfs>
  <cellXfs count="117">
    <xf numFmtId="0" fontId="0" fillId="0" borderId="0" xfId="0"/>
    <xf numFmtId="0" fontId="6" fillId="0" borderId="1" xfId="0" applyFont="1" applyBorder="1" applyAlignment="1">
      <alignment vertical="center" wrapText="1"/>
    </xf>
    <xf numFmtId="0" fontId="5" fillId="0" borderId="1" xfId="0" applyFont="1" applyBorder="1" applyAlignment="1">
      <alignment vertical="center" wrapText="1"/>
    </xf>
    <xf numFmtId="0" fontId="1" fillId="0" borderId="0" xfId="0" applyFont="1"/>
    <xf numFmtId="0" fontId="5" fillId="0" borderId="1" xfId="0" applyFont="1" applyBorder="1" applyAlignment="1">
      <alignment horizontal="justify" vertical="center"/>
    </xf>
    <xf numFmtId="0" fontId="7" fillId="0" borderId="1" xfId="0" applyFont="1" applyBorder="1" applyAlignment="1">
      <alignment horizontal="justify" vertical="center"/>
    </xf>
    <xf numFmtId="0" fontId="6" fillId="4" borderId="1" xfId="0" applyFont="1" applyFill="1" applyBorder="1" applyAlignment="1">
      <alignment vertical="center" wrapText="1"/>
    </xf>
    <xf numFmtId="0" fontId="5" fillId="4" borderId="1" xfId="0" applyFont="1" applyFill="1" applyBorder="1" applyAlignment="1">
      <alignment vertical="center" wrapText="1"/>
    </xf>
    <xf numFmtId="0" fontId="0" fillId="4" borderId="0" xfId="0" applyFill="1"/>
    <xf numFmtId="0" fontId="10" fillId="5" borderId="2" xfId="0" applyFont="1" applyFill="1" applyBorder="1" applyAlignment="1">
      <alignment horizontal="left" vertical="center" indent="1"/>
    </xf>
    <xf numFmtId="0" fontId="10" fillId="6" borderId="2" xfId="0" applyFont="1" applyFill="1" applyBorder="1" applyAlignment="1">
      <alignment horizontal="left" vertical="center" indent="1"/>
    </xf>
    <xf numFmtId="0" fontId="11" fillId="7" borderId="2" xfId="0" applyFont="1" applyFill="1" applyBorder="1" applyAlignment="1">
      <alignment horizontal="left" vertical="center" indent="1"/>
    </xf>
    <xf numFmtId="0" fontId="11" fillId="7" borderId="3" xfId="0" applyFont="1" applyFill="1" applyBorder="1" applyAlignment="1">
      <alignment horizontal="left" vertical="center" indent="1"/>
    </xf>
    <xf numFmtId="0" fontId="10" fillId="5" borderId="3" xfId="0" applyFont="1" applyFill="1" applyBorder="1" applyAlignment="1">
      <alignment horizontal="left" vertical="center" indent="1"/>
    </xf>
    <xf numFmtId="0" fontId="10" fillId="6" borderId="3" xfId="0" applyFont="1" applyFill="1" applyBorder="1" applyAlignment="1">
      <alignment horizontal="left" vertical="center" indent="1"/>
    </xf>
    <xf numFmtId="4" fontId="9" fillId="8" borderId="1" xfId="0" applyNumberFormat="1" applyFont="1" applyFill="1" applyBorder="1" applyAlignment="1" applyProtection="1">
      <alignment wrapText="1"/>
    </xf>
    <xf numFmtId="0" fontId="4" fillId="4" borderId="1" xfId="0" applyNumberFormat="1" applyFont="1" applyFill="1" applyBorder="1" applyAlignment="1" applyProtection="1">
      <alignment vertical="center" wrapText="1"/>
    </xf>
    <xf numFmtId="0" fontId="3" fillId="2" borderId="1" xfId="0" applyNumberFormat="1" applyFont="1" applyFill="1" applyBorder="1" applyAlignment="1" applyProtection="1">
      <alignment vertical="center" wrapText="1"/>
    </xf>
    <xf numFmtId="4" fontId="3" fillId="2" borderId="1" xfId="0" applyNumberFormat="1" applyFont="1" applyFill="1" applyBorder="1" applyAlignment="1" applyProtection="1">
      <alignment vertical="center" wrapText="1"/>
    </xf>
    <xf numFmtId="4" fontId="3" fillId="8" borderId="1" xfId="0" applyNumberFormat="1" applyFont="1" applyFill="1" applyBorder="1" applyAlignment="1" applyProtection="1">
      <alignment vertical="center" wrapText="1"/>
    </xf>
    <xf numFmtId="0" fontId="2" fillId="3" borderId="1" xfId="0" applyNumberFormat="1" applyFont="1" applyFill="1" applyBorder="1" applyAlignment="1" applyProtection="1">
      <alignment vertical="center" wrapText="1"/>
    </xf>
    <xf numFmtId="4" fontId="3" fillId="3" borderId="1" xfId="0" applyNumberFormat="1" applyFont="1" applyFill="1" applyBorder="1" applyAlignment="1" applyProtection="1">
      <alignment vertical="center" wrapText="1"/>
    </xf>
    <xf numFmtId="4" fontId="2" fillId="8" borderId="1" xfId="0" applyNumberFormat="1" applyFont="1" applyFill="1" applyBorder="1" applyAlignment="1" applyProtection="1">
      <alignment vertical="center" wrapText="1"/>
    </xf>
    <xf numFmtId="4" fontId="9" fillId="4" borderId="1" xfId="0" applyNumberFormat="1" applyFont="1" applyFill="1" applyBorder="1" applyAlignment="1" applyProtection="1">
      <alignment vertical="center" wrapText="1"/>
    </xf>
    <xf numFmtId="4" fontId="9" fillId="8" borderId="1" xfId="0" applyNumberFormat="1" applyFont="1" applyFill="1" applyBorder="1" applyAlignment="1" applyProtection="1">
      <alignment vertical="center" wrapText="1"/>
    </xf>
    <xf numFmtId="4" fontId="4" fillId="4" borderId="1" xfId="0" applyNumberFormat="1" applyFont="1" applyFill="1" applyBorder="1" applyAlignment="1" applyProtection="1">
      <alignment vertical="center" wrapText="1"/>
    </xf>
    <xf numFmtId="0" fontId="7" fillId="0" borderId="1" xfId="0" applyFont="1" applyBorder="1" applyAlignment="1">
      <alignment vertical="center" wrapText="1"/>
    </xf>
    <xf numFmtId="0" fontId="6" fillId="4" borderId="1" xfId="0" applyFont="1" applyFill="1" applyBorder="1" applyAlignment="1">
      <alignment vertical="center"/>
    </xf>
    <xf numFmtId="0" fontId="6" fillId="0" borderId="1" xfId="0" applyFont="1" applyBorder="1" applyAlignment="1">
      <alignment vertical="center"/>
    </xf>
    <xf numFmtId="0" fontId="0" fillId="0" borderId="0" xfId="0" applyAlignment="1">
      <alignment horizontal="center"/>
    </xf>
    <xf numFmtId="0" fontId="2" fillId="0" borderId="1" xfId="0" quotePrefix="1" applyNumberFormat="1" applyFont="1" applyBorder="1" applyAlignment="1" applyProtection="1">
      <alignment horizontal="center" vertical="center" wrapText="1"/>
    </xf>
    <xf numFmtId="0" fontId="2" fillId="2" borderId="1" xfId="0" applyNumberFormat="1" applyFont="1" applyFill="1" applyBorder="1" applyAlignment="1" applyProtection="1">
      <alignment horizontal="center" vertical="center" wrapText="1"/>
    </xf>
    <xf numFmtId="0" fontId="3" fillId="3" borderId="1" xfId="0" applyNumberFormat="1" applyFont="1" applyFill="1" applyBorder="1" applyAlignment="1" applyProtection="1">
      <alignment horizontal="center" vertical="center" wrapText="1"/>
    </xf>
    <xf numFmtId="0" fontId="4" fillId="4" borderId="1" xfId="0" applyNumberFormat="1" applyFont="1" applyFill="1" applyBorder="1" applyAlignment="1" applyProtection="1">
      <alignment horizontal="center" vertical="center" wrapText="1"/>
    </xf>
    <xf numFmtId="0" fontId="0" fillId="0" borderId="0" xfId="0" applyAlignment="1">
      <alignment horizontal="center" vertical="center"/>
    </xf>
    <xf numFmtId="0" fontId="3" fillId="0" borderId="1" xfId="0" applyNumberFormat="1" applyFont="1" applyBorder="1" applyAlignment="1" applyProtection="1">
      <alignment horizontal="center" vertical="center" wrapText="1"/>
    </xf>
    <xf numFmtId="0" fontId="3" fillId="2" borderId="1" xfId="0" applyNumberFormat="1" applyFont="1" applyFill="1" applyBorder="1" applyAlignment="1" applyProtection="1">
      <alignment horizontal="center" vertical="center" wrapText="1"/>
    </xf>
    <xf numFmtId="0" fontId="2" fillId="3" borderId="1" xfId="0" applyNumberFormat="1" applyFont="1" applyFill="1" applyBorder="1" applyAlignment="1" applyProtection="1">
      <alignment horizontal="center" vertical="center" wrapText="1"/>
    </xf>
    <xf numFmtId="4" fontId="9" fillId="8" borderId="1" xfId="0" applyNumberFormat="1" applyFont="1" applyFill="1" applyBorder="1" applyAlignment="1" applyProtection="1">
      <alignment horizontal="left" vertical="center" wrapText="1"/>
    </xf>
    <xf numFmtId="0" fontId="0" fillId="0" borderId="0" xfId="0" applyAlignment="1">
      <alignment horizontal="left"/>
    </xf>
    <xf numFmtId="0" fontId="1" fillId="0" borderId="0" xfId="0" applyFont="1" applyAlignment="1">
      <alignment horizontal="left"/>
    </xf>
    <xf numFmtId="4" fontId="3" fillId="8" borderId="1" xfId="0" applyNumberFormat="1" applyFont="1" applyFill="1" applyBorder="1" applyAlignment="1" applyProtection="1">
      <alignment horizontal="left" vertical="center" wrapText="1"/>
    </xf>
    <xf numFmtId="4" fontId="2" fillId="8" borderId="1" xfId="0"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center" vertical="center" wrapText="1"/>
    </xf>
    <xf numFmtId="0" fontId="3" fillId="8" borderId="1" xfId="0" applyNumberFormat="1" applyFont="1" applyFill="1" applyBorder="1" applyAlignment="1" applyProtection="1">
      <alignment horizontal="center" vertical="center" wrapText="1"/>
    </xf>
    <xf numFmtId="0" fontId="12" fillId="0" borderId="1" xfId="0" applyFont="1" applyBorder="1" applyAlignment="1">
      <alignment vertical="center" wrapText="1"/>
    </xf>
    <xf numFmtId="0" fontId="5" fillId="0" borderId="1" xfId="0" applyFont="1" applyBorder="1" applyAlignment="1">
      <alignment horizontal="left" wrapText="1"/>
    </xf>
    <xf numFmtId="4" fontId="2" fillId="0" borderId="1" xfId="0" applyNumberFormat="1" applyFont="1" applyBorder="1" applyAlignment="1">
      <alignment wrapText="1"/>
    </xf>
    <xf numFmtId="0" fontId="5" fillId="0" borderId="1" xfId="0" applyFont="1" applyBorder="1" applyAlignment="1">
      <alignment wrapText="1"/>
    </xf>
    <xf numFmtId="0" fontId="3" fillId="3" borderId="1" xfId="0" applyNumberFormat="1" applyFont="1" applyFill="1" applyBorder="1" applyAlignment="1" applyProtection="1">
      <alignment wrapText="1"/>
    </xf>
    <xf numFmtId="0" fontId="2" fillId="3" borderId="1" xfId="0" applyNumberFormat="1" applyFont="1" applyFill="1" applyBorder="1" applyAlignment="1" applyProtection="1">
      <alignment wrapText="1"/>
    </xf>
    <xf numFmtId="0" fontId="2" fillId="3" borderId="1" xfId="0" applyNumberFormat="1" applyFont="1" applyFill="1" applyBorder="1" applyAlignment="1" applyProtection="1">
      <alignment vertical="justify" wrapText="1"/>
    </xf>
    <xf numFmtId="4" fontId="3" fillId="3" borderId="1" xfId="0" applyNumberFormat="1" applyFont="1" applyFill="1" applyBorder="1" applyAlignment="1" applyProtection="1">
      <alignment wrapText="1"/>
    </xf>
    <xf numFmtId="0" fontId="0" fillId="0" borderId="1" xfId="0" applyBorder="1" applyAlignment="1">
      <alignment wrapText="1"/>
    </xf>
    <xf numFmtId="0" fontId="8" fillId="0" borderId="0" xfId="0" applyFont="1" applyAlignment="1">
      <alignment horizontal="left" vertical="center"/>
    </xf>
    <xf numFmtId="4" fontId="0" fillId="0" borderId="0" xfId="0" applyNumberFormat="1"/>
    <xf numFmtId="4" fontId="0" fillId="4" borderId="0" xfId="0" applyNumberFormat="1" applyFill="1"/>
    <xf numFmtId="0" fontId="4" fillId="4" borderId="0" xfId="0" applyNumberFormat="1" applyFont="1" applyFill="1" applyBorder="1" applyAlignment="1" applyProtection="1">
      <alignment horizontal="center" vertical="center" wrapText="1"/>
    </xf>
    <xf numFmtId="0" fontId="4" fillId="4" borderId="0" xfId="0" applyNumberFormat="1" applyFont="1" applyFill="1" applyBorder="1" applyAlignment="1" applyProtection="1">
      <alignment vertical="center" wrapText="1"/>
    </xf>
    <xf numFmtId="0" fontId="5" fillId="4" borderId="0" xfId="0" applyFont="1" applyFill="1" applyBorder="1" applyAlignment="1">
      <alignment vertical="center" wrapText="1"/>
    </xf>
    <xf numFmtId="4" fontId="4" fillId="4" borderId="0" xfId="0" applyNumberFormat="1" applyFont="1" applyFill="1" applyBorder="1" applyAlignment="1" applyProtection="1">
      <alignment vertical="center" wrapText="1"/>
    </xf>
    <xf numFmtId="4" fontId="9" fillId="8" borderId="0" xfId="0" applyNumberFormat="1" applyFont="1" applyFill="1" applyBorder="1" applyAlignment="1" applyProtection="1">
      <alignment horizontal="left" vertical="center" wrapText="1"/>
    </xf>
    <xf numFmtId="4" fontId="9" fillId="8" borderId="0" xfId="0" applyNumberFormat="1" applyFont="1" applyFill="1" applyBorder="1" applyAlignment="1" applyProtection="1">
      <alignment vertical="center" wrapText="1"/>
    </xf>
    <xf numFmtId="0" fontId="0" fillId="0" borderId="0" xfId="0" applyBorder="1"/>
    <xf numFmtId="4" fontId="0" fillId="0" borderId="0" xfId="0" applyNumberFormat="1" applyBorder="1"/>
    <xf numFmtId="0" fontId="14" fillId="0" borderId="0" xfId="0" applyFont="1" applyAlignment="1">
      <alignment horizontal="left" vertical="center"/>
    </xf>
    <xf numFmtId="0" fontId="14" fillId="0" borderId="0" xfId="0" applyFont="1"/>
    <xf numFmtId="0" fontId="14" fillId="4" borderId="0" xfId="0" applyFont="1" applyFill="1" applyBorder="1" applyAlignment="1">
      <alignment vertical="center" wrapText="1"/>
    </xf>
    <xf numFmtId="0" fontId="4" fillId="9" borderId="1" xfId="0" applyNumberFormat="1" applyFont="1" applyFill="1" applyBorder="1" applyAlignment="1" applyProtection="1">
      <alignment horizontal="center" vertical="center" wrapText="1"/>
    </xf>
    <xf numFmtId="0" fontId="4" fillId="9" borderId="1" xfId="0" applyNumberFormat="1" applyFont="1" applyFill="1" applyBorder="1" applyAlignment="1" applyProtection="1">
      <alignment vertical="center" wrapText="1"/>
    </xf>
    <xf numFmtId="0" fontId="13" fillId="9" borderId="1" xfId="0" applyFont="1" applyFill="1" applyBorder="1" applyAlignment="1">
      <alignment vertical="center" wrapText="1"/>
    </xf>
    <xf numFmtId="0" fontId="9" fillId="9" borderId="1" xfId="0" applyNumberFormat="1" applyFont="1" applyFill="1" applyBorder="1" applyAlignment="1" applyProtection="1">
      <alignment horizontal="center" vertical="center" wrapText="1"/>
    </xf>
    <xf numFmtId="4" fontId="9" fillId="9" borderId="1" xfId="0" applyNumberFormat="1" applyFont="1" applyFill="1" applyBorder="1" applyAlignment="1" applyProtection="1">
      <alignment vertical="center" wrapText="1"/>
    </xf>
    <xf numFmtId="0" fontId="4" fillId="4" borderId="1" xfId="0" applyNumberFormat="1" applyFont="1" applyFill="1" applyBorder="1" applyAlignment="1" applyProtection="1">
      <alignment vertical="justify" wrapText="1"/>
    </xf>
    <xf numFmtId="0" fontId="15" fillId="0" borderId="0" xfId="0" applyFont="1" applyBorder="1" applyAlignment="1">
      <alignment vertical="center" wrapText="1"/>
    </xf>
    <xf numFmtId="0" fontId="5" fillId="0" borderId="0" xfId="0" applyFont="1" applyBorder="1" applyAlignment="1">
      <alignment vertical="center" wrapText="1"/>
    </xf>
    <xf numFmtId="4" fontId="9" fillId="4" borderId="0" xfId="0" applyNumberFormat="1" applyFont="1" applyFill="1" applyBorder="1" applyAlignment="1" applyProtection="1">
      <alignment vertical="center" wrapText="1"/>
    </xf>
    <xf numFmtId="0" fontId="3" fillId="3" borderId="1" xfId="0" applyNumberFormat="1" applyFont="1" applyFill="1" applyBorder="1" applyAlignment="1" applyProtection="1">
      <alignment vertical="center" wrapText="1"/>
    </xf>
    <xf numFmtId="0" fontId="2" fillId="4" borderId="1" xfId="0" applyNumberFormat="1" applyFont="1" applyFill="1" applyBorder="1" applyAlignment="1">
      <alignment vertical="justify" wrapText="1"/>
    </xf>
    <xf numFmtId="0" fontId="0" fillId="0" borderId="1" xfId="0" applyBorder="1" applyAlignment="1">
      <alignment horizontal="center" vertical="center"/>
    </xf>
    <xf numFmtId="0" fontId="0" fillId="0" borderId="1" xfId="0" applyBorder="1"/>
    <xf numFmtId="0" fontId="0" fillId="0" borderId="1" xfId="0" applyBorder="1" applyAlignment="1">
      <alignment horizontal="center"/>
    </xf>
    <xf numFmtId="0" fontId="0" fillId="0" borderId="1" xfId="0" applyBorder="1" applyAlignment="1">
      <alignment horizontal="left"/>
    </xf>
    <xf numFmtId="4" fontId="0" fillId="0" borderId="1" xfId="0" applyNumberFormat="1" applyBorder="1"/>
    <xf numFmtId="0" fontId="4" fillId="4" borderId="1" xfId="0" applyFont="1" applyFill="1" applyBorder="1" applyAlignment="1">
      <alignment vertical="justify" wrapText="1"/>
    </xf>
    <xf numFmtId="4" fontId="4" fillId="4" borderId="1" xfId="0" applyNumberFormat="1" applyFont="1" applyFill="1" applyBorder="1" applyAlignment="1">
      <alignment wrapText="1"/>
    </xf>
    <xf numFmtId="0" fontId="4" fillId="4" borderId="0" xfId="0" applyFont="1" applyFill="1" applyBorder="1" applyAlignment="1">
      <alignment vertical="justify" wrapText="1"/>
    </xf>
    <xf numFmtId="0" fontId="2" fillId="4" borderId="1" xfId="0" applyFont="1" applyFill="1" applyBorder="1" applyAlignment="1">
      <alignment vertical="justify" wrapText="1"/>
    </xf>
    <xf numFmtId="4" fontId="2" fillId="4" borderId="1" xfId="0" applyNumberFormat="1" applyFont="1" applyFill="1" applyBorder="1" applyAlignment="1">
      <alignment wrapText="1"/>
    </xf>
    <xf numFmtId="0" fontId="4" fillId="0" borderId="1" xfId="0" applyFont="1" applyBorder="1" applyAlignment="1">
      <alignment vertical="justify" wrapText="1"/>
    </xf>
    <xf numFmtId="0" fontId="2" fillId="0" borderId="1" xfId="0" applyFont="1" applyBorder="1" applyAlignment="1">
      <alignment vertical="justify" wrapText="1"/>
    </xf>
    <xf numFmtId="4" fontId="4" fillId="4" borderId="1" xfId="0" applyNumberFormat="1" applyFont="1" applyFill="1" applyBorder="1" applyAlignment="1" applyProtection="1">
      <alignment wrapText="1"/>
    </xf>
    <xf numFmtId="0" fontId="4" fillId="4" borderId="4" xfId="0" applyNumberFormat="1" applyFont="1" applyFill="1" applyBorder="1" applyAlignment="1" applyProtection="1">
      <alignment horizontal="center" vertical="center" wrapText="1"/>
    </xf>
    <xf numFmtId="0" fontId="4" fillId="4" borderId="4" xfId="0" applyNumberFormat="1" applyFont="1" applyFill="1" applyBorder="1" applyAlignment="1" applyProtection="1">
      <alignment vertical="center" wrapText="1"/>
    </xf>
    <xf numFmtId="0" fontId="2" fillId="4" borderId="4" xfId="0" applyNumberFormat="1" applyFont="1" applyFill="1" applyBorder="1" applyAlignment="1">
      <alignment vertical="justify" wrapText="1"/>
    </xf>
    <xf numFmtId="0" fontId="4" fillId="4" borderId="4" xfId="0" applyNumberFormat="1" applyFont="1" applyFill="1" applyBorder="1" applyAlignment="1" applyProtection="1">
      <alignment vertical="justify" wrapText="1"/>
    </xf>
    <xf numFmtId="4" fontId="4" fillId="4" borderId="4" xfId="0" applyNumberFormat="1" applyFont="1" applyFill="1" applyBorder="1" applyAlignment="1" applyProtection="1">
      <alignment vertical="center" wrapText="1"/>
    </xf>
    <xf numFmtId="4" fontId="9" fillId="8" borderId="4" xfId="0" applyNumberFormat="1" applyFont="1" applyFill="1" applyBorder="1" applyAlignment="1" applyProtection="1">
      <alignment horizontal="left" vertical="center" wrapText="1"/>
    </xf>
    <xf numFmtId="4" fontId="9" fillId="8" borderId="4" xfId="0" applyNumberFormat="1" applyFont="1" applyFill="1" applyBorder="1" applyAlignment="1" applyProtection="1">
      <alignment vertical="center" wrapText="1"/>
    </xf>
    <xf numFmtId="4" fontId="18" fillId="4" borderId="1" xfId="0" applyNumberFormat="1" applyFont="1" applyFill="1" applyBorder="1" applyAlignment="1" applyProtection="1">
      <alignment vertical="center" wrapText="1"/>
    </xf>
    <xf numFmtId="0" fontId="1" fillId="11" borderId="8" xfId="0" applyFont="1" applyFill="1" applyBorder="1" applyAlignment="1">
      <alignment horizontal="center" vertical="center" wrapText="1"/>
    </xf>
    <xf numFmtId="0" fontId="1" fillId="11" borderId="9" xfId="0" applyFont="1" applyFill="1" applyBorder="1" applyAlignment="1">
      <alignment horizontal="center" vertical="center" wrapText="1"/>
    </xf>
    <xf numFmtId="0" fontId="17" fillId="0" borderId="8" xfId="0" applyFont="1" applyBorder="1" applyAlignment="1">
      <alignment vertical="center" wrapText="1"/>
    </xf>
    <xf numFmtId="4" fontId="17" fillId="0" borderId="9" xfId="0" applyNumberFormat="1" applyFont="1" applyBorder="1" applyAlignment="1">
      <alignment vertical="center" wrapText="1"/>
    </xf>
    <xf numFmtId="0" fontId="17" fillId="0" borderId="9" xfId="0" applyFont="1" applyBorder="1" applyAlignment="1">
      <alignment vertical="center" wrapText="1"/>
    </xf>
    <xf numFmtId="0" fontId="1" fillId="12" borderId="8" xfId="0" applyFont="1" applyFill="1" applyBorder="1" applyAlignment="1">
      <alignment vertical="center" wrapText="1"/>
    </xf>
    <xf numFmtId="0" fontId="19" fillId="10" borderId="5" xfId="1" applyFill="1" applyBorder="1" applyAlignment="1">
      <alignment horizontal="center" vertical="center" wrapText="1"/>
    </xf>
    <xf numFmtId="0" fontId="19" fillId="10" borderId="6" xfId="1" applyFill="1" applyBorder="1" applyAlignment="1">
      <alignment horizontal="center" vertical="center" wrapText="1"/>
    </xf>
    <xf numFmtId="0" fontId="19" fillId="10" borderId="7" xfId="1" applyFill="1" applyBorder="1" applyAlignment="1">
      <alignment horizontal="center" vertical="center" wrapText="1"/>
    </xf>
    <xf numFmtId="0" fontId="1" fillId="12" borderId="7" xfId="0" applyFont="1" applyFill="1" applyBorder="1" applyAlignment="1">
      <alignment vertical="center" wrapText="1"/>
    </xf>
    <xf numFmtId="0" fontId="0" fillId="0" borderId="9" xfId="0" applyFont="1" applyBorder="1" applyAlignment="1">
      <alignment vertical="center" wrapText="1"/>
    </xf>
    <xf numFmtId="4" fontId="0" fillId="0" borderId="9" xfId="0" applyNumberFormat="1" applyFont="1" applyBorder="1" applyAlignment="1">
      <alignment vertical="center" wrapText="1"/>
    </xf>
    <xf numFmtId="4" fontId="1" fillId="12" borderId="5" xfId="0" applyNumberFormat="1" applyFont="1" applyFill="1" applyBorder="1" applyAlignment="1">
      <alignment vertical="center" wrapText="1"/>
    </xf>
    <xf numFmtId="4" fontId="1" fillId="0" borderId="0" xfId="0" applyNumberFormat="1" applyFont="1"/>
    <xf numFmtId="0" fontId="15" fillId="4" borderId="1" xfId="0" applyFont="1" applyFill="1" applyBorder="1" applyAlignment="1">
      <alignment vertical="center"/>
    </xf>
    <xf numFmtId="0" fontId="9" fillId="4" borderId="1" xfId="0" applyNumberFormat="1" applyFont="1" applyFill="1" applyBorder="1" applyAlignment="1" applyProtection="1">
      <alignment horizontal="center" vertical="center" wrapText="1"/>
    </xf>
    <xf numFmtId="0" fontId="9" fillId="4" borderId="1" xfId="0" applyNumberFormat="1" applyFont="1" applyFill="1" applyBorder="1" applyAlignment="1" applyProtection="1">
      <alignment vertical="justify" wrapText="1"/>
    </xf>
  </cellXfs>
  <cellStyles count="2">
    <cellStyle name="Hiperpovezava" xfId="1" builtinId="8"/>
    <cellStyle name="Navadno"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ern\AppData\Local\Temp\notes1BBE42\~780573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pecjak\AppData\Local\Temp\notes3F9412\Pakt%20o%20migracijah%20-%20predlogi%20operacij%20-%20dolo&#269;itev%20sklada,%20BB%20in%20intervencije%20SMP%20UUP%20odg%2019.3.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1"/>
      <sheetName val="List2"/>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1"/>
      <sheetName val="List2"/>
    </sheetNames>
    <sheetDataSet>
      <sheetData sheetId="0"/>
      <sheetData sheetId="1"/>
    </sheetDataSet>
  </externalBook>
</externalLink>
</file>

<file path=xl/tables/table1.xml><?xml version="1.0" encoding="utf-8"?>
<table xmlns="http://schemas.openxmlformats.org/spreadsheetml/2006/main" id="2" name="Tabela2" displayName="Tabela2" ref="A1:A6" totalsRowShown="0">
  <autoFilter ref="A1:A6"/>
  <tableColumns count="1">
    <tableColumn id="1" name="SKLAD"/>
  </tableColumns>
  <tableStyleInfo name="TableStyleMedium2" showFirstColumn="0" showLastColumn="0" showRowStripes="1" showColumnStripes="0"/>
</table>
</file>

<file path=xl/tables/table2.xml><?xml version="1.0" encoding="utf-8"?>
<table xmlns="http://schemas.openxmlformats.org/spreadsheetml/2006/main" id="3" name="Tabela3" displayName="Tabela3" ref="D1:D13" totalsRowShown="0">
  <autoFilter ref="D1:D13">
    <filterColumn colId="0">
      <filters>
        <filter val="BB1"/>
        <filter val="BB10"/>
        <filter val="BB2"/>
        <filter val="BB3"/>
        <filter val="BB4"/>
        <filter val="BB5"/>
        <filter val="BB6"/>
        <filter val="BB7"/>
        <filter val="BB8"/>
        <filter val="BB9"/>
      </filters>
    </filterColumn>
  </autoFilter>
  <tableColumns count="1">
    <tableColumn id="1" name="BB"/>
  </tableColumns>
  <tableStyleInfo name="TableStyleMedium2" showFirstColumn="0" showLastColumn="0" showRowStripes="1" showColumnStripes="0"/>
</table>
</file>

<file path=xl/tables/table3.xml><?xml version="1.0" encoding="utf-8"?>
<table xmlns="http://schemas.openxmlformats.org/spreadsheetml/2006/main" id="7" name="Tabela7" displayName="Tabela7" ref="H2:H90" totalsRowShown="0">
  <autoFilter ref="H2:H90"/>
  <tableColumns count="1">
    <tableColumn id="1" name="Intervencija"/>
  </tableColumns>
  <tableStyleInfo name="TableStyleMedium2" showFirstColumn="0" showLastColumn="0" showRowStripes="1" showColumnStripes="0"/>
</table>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71"/>
  <sheetViews>
    <sheetView topLeftCell="A55" zoomScaleNormal="100" workbookViewId="0">
      <selection activeCell="F26" sqref="F26"/>
    </sheetView>
  </sheetViews>
  <sheetFormatPr defaultRowHeight="15" x14ac:dyDescent="0.25"/>
  <cols>
    <col min="1" max="1" width="9.140625" style="34"/>
    <col min="2" max="2" width="14.7109375" hidden="1" customWidth="1"/>
    <col min="3" max="3" width="35.5703125" customWidth="1"/>
    <col min="4" max="4" width="13.5703125" style="29" customWidth="1"/>
    <col min="5" max="5" width="58.85546875" customWidth="1"/>
    <col min="6" max="6" width="15.28515625" customWidth="1"/>
    <col min="7" max="7" width="14.5703125" customWidth="1"/>
    <col min="8" max="8" width="16.7109375" bestFit="1" customWidth="1"/>
    <col min="9" max="9" width="11.7109375" customWidth="1"/>
    <col min="10" max="13" width="12.28515625" customWidth="1"/>
    <col min="14" max="14" width="13.7109375" style="39" customWidth="1"/>
    <col min="15" max="15" width="15" customWidth="1"/>
    <col min="16" max="16" width="53.85546875" customWidth="1"/>
    <col min="18" max="19" width="12.7109375" hidden="1" customWidth="1"/>
    <col min="20" max="20" width="11.7109375" hidden="1" customWidth="1"/>
    <col min="21" max="21" width="13.85546875" hidden="1" customWidth="1"/>
    <col min="23" max="23" width="13.85546875" style="55" bestFit="1" customWidth="1"/>
    <col min="24" max="24" width="12.7109375" bestFit="1" customWidth="1"/>
    <col min="25" max="25" width="13.85546875" style="55" bestFit="1" customWidth="1"/>
    <col min="27" max="27" width="12.7109375" bestFit="1" customWidth="1"/>
  </cols>
  <sheetData>
    <row r="1" spans="1:24" ht="32.25" customHeight="1" x14ac:dyDescent="0.25">
      <c r="A1" s="54" t="s">
        <v>305</v>
      </c>
    </row>
    <row r="2" spans="1:24" ht="32.25" customHeight="1" x14ac:dyDescent="0.25">
      <c r="A2" s="54" t="s">
        <v>254</v>
      </c>
      <c r="H2" s="55"/>
      <c r="I2" s="3">
        <v>2025</v>
      </c>
      <c r="J2" s="3">
        <v>2026</v>
      </c>
      <c r="K2" s="3">
        <v>2027</v>
      </c>
      <c r="L2" s="3">
        <v>2028</v>
      </c>
      <c r="M2" s="3">
        <v>2029</v>
      </c>
      <c r="N2" s="40"/>
      <c r="O2" s="3"/>
      <c r="P2" s="3"/>
      <c r="U2" s="55"/>
    </row>
    <row r="4" spans="1:24" ht="42.75" customHeight="1" x14ac:dyDescent="0.25">
      <c r="A4" s="30" t="s">
        <v>0</v>
      </c>
      <c r="B4" s="30" t="s">
        <v>1</v>
      </c>
      <c r="C4" s="35"/>
      <c r="D4" s="35" t="s">
        <v>285</v>
      </c>
      <c r="E4" s="35"/>
      <c r="F4" s="35" t="s">
        <v>3</v>
      </c>
      <c r="G4" s="35" t="s">
        <v>4</v>
      </c>
      <c r="H4" s="35" t="s">
        <v>5</v>
      </c>
      <c r="I4" s="35">
        <v>2025</v>
      </c>
      <c r="J4" s="43">
        <v>2026</v>
      </c>
      <c r="K4" s="43">
        <v>2027</v>
      </c>
      <c r="L4" s="43">
        <v>2028</v>
      </c>
      <c r="M4" s="43">
        <v>2029</v>
      </c>
      <c r="N4" s="44" t="s">
        <v>46</v>
      </c>
      <c r="O4" s="44" t="s">
        <v>61</v>
      </c>
      <c r="P4" s="44" t="s">
        <v>228</v>
      </c>
      <c r="U4" s="55"/>
    </row>
    <row r="5" spans="1:24" ht="32.25" customHeight="1" x14ac:dyDescent="0.25">
      <c r="A5" s="31"/>
      <c r="B5" s="17"/>
      <c r="C5" s="17" t="s">
        <v>9</v>
      </c>
      <c r="D5" s="36"/>
      <c r="E5" s="17"/>
      <c r="F5" s="18">
        <f>+F6+F11+F20</f>
        <v>45516906.730000004</v>
      </c>
      <c r="G5" s="18">
        <f t="shared" ref="G5:M5" si="0">+G6+G11+G20</f>
        <v>36005470.019999996</v>
      </c>
      <c r="H5" s="18">
        <f t="shared" si="0"/>
        <v>9511436.7100000009</v>
      </c>
      <c r="I5" s="18">
        <f t="shared" si="0"/>
        <v>613000</v>
      </c>
      <c r="J5" s="18">
        <f t="shared" si="0"/>
        <v>613000</v>
      </c>
      <c r="K5" s="18">
        <f t="shared" si="0"/>
        <v>591000</v>
      </c>
      <c r="L5" s="18">
        <f t="shared" si="0"/>
        <v>0</v>
      </c>
      <c r="M5" s="18">
        <f t="shared" si="0"/>
        <v>0</v>
      </c>
      <c r="N5" s="41"/>
      <c r="O5" s="19"/>
      <c r="P5" s="19"/>
      <c r="U5" s="55"/>
    </row>
    <row r="6" spans="1:24" ht="31.5" customHeight="1" x14ac:dyDescent="0.25">
      <c r="A6" s="32" t="s">
        <v>6</v>
      </c>
      <c r="B6" s="20"/>
      <c r="C6" s="77" t="s">
        <v>253</v>
      </c>
      <c r="D6" s="37"/>
      <c r="E6" s="20"/>
      <c r="F6" s="21">
        <f>+F7+F8+F9+F10</f>
        <v>5244973.34</v>
      </c>
      <c r="G6" s="21">
        <f t="shared" ref="G6:M6" si="1">+G7+G8+G9+G10</f>
        <v>4091230.0049999999</v>
      </c>
      <c r="H6" s="21">
        <f t="shared" si="1"/>
        <v>1153743.335</v>
      </c>
      <c r="I6" s="21">
        <f t="shared" si="1"/>
        <v>349000</v>
      </c>
      <c r="J6" s="21">
        <f t="shared" si="1"/>
        <v>349000</v>
      </c>
      <c r="K6" s="21">
        <f t="shared" si="1"/>
        <v>327000</v>
      </c>
      <c r="L6" s="21">
        <f t="shared" si="1"/>
        <v>0</v>
      </c>
      <c r="M6" s="21">
        <f t="shared" si="1"/>
        <v>0</v>
      </c>
      <c r="N6" s="42"/>
      <c r="O6" s="22"/>
      <c r="P6" s="22"/>
      <c r="R6" s="55">
        <f>+F21+F22+F23+F24+F25+F26+F27+F28+F29</f>
        <v>15249324.280000001</v>
      </c>
      <c r="S6" t="s">
        <v>53</v>
      </c>
      <c r="U6" s="55"/>
    </row>
    <row r="7" spans="1:24" x14ac:dyDescent="0.25">
      <c r="A7" s="33">
        <v>5</v>
      </c>
      <c r="B7" s="16"/>
      <c r="C7" s="27" t="s">
        <v>251</v>
      </c>
      <c r="D7" s="33">
        <v>1</v>
      </c>
      <c r="E7" s="73" t="s">
        <v>252</v>
      </c>
      <c r="F7" s="25">
        <v>630000</v>
      </c>
      <c r="G7" s="25">
        <f>+F7</f>
        <v>630000</v>
      </c>
      <c r="H7" s="25">
        <f t="shared" ref="H7:H10" si="2">+F7-G7</f>
        <v>0</v>
      </c>
      <c r="I7" s="25">
        <v>264000</v>
      </c>
      <c r="J7" s="25">
        <v>264000</v>
      </c>
      <c r="K7" s="25">
        <v>264000</v>
      </c>
      <c r="L7" s="25"/>
      <c r="M7" s="25"/>
      <c r="N7" s="38" t="s">
        <v>227</v>
      </c>
      <c r="O7" s="24" t="s">
        <v>54</v>
      </c>
      <c r="P7" s="24" t="s">
        <v>128</v>
      </c>
      <c r="R7" s="55">
        <f>+F7+F8+F10</f>
        <v>3616166.67</v>
      </c>
      <c r="S7" t="s">
        <v>302</v>
      </c>
      <c r="U7" s="55"/>
    </row>
    <row r="8" spans="1:24" x14ac:dyDescent="0.25">
      <c r="A8" s="33">
        <v>6</v>
      </c>
      <c r="B8" s="16"/>
      <c r="C8" s="16" t="s">
        <v>25</v>
      </c>
      <c r="D8" s="33">
        <v>1</v>
      </c>
      <c r="E8" s="28" t="s">
        <v>34</v>
      </c>
      <c r="F8" s="25">
        <v>2015900</v>
      </c>
      <c r="G8" s="25">
        <f>0.75*F8</f>
        <v>1511925</v>
      </c>
      <c r="H8" s="25">
        <f t="shared" si="2"/>
        <v>503975</v>
      </c>
      <c r="I8" s="25"/>
      <c r="J8" s="25"/>
      <c r="K8" s="25"/>
      <c r="L8" s="25"/>
      <c r="M8" s="25"/>
      <c r="N8" s="38" t="s">
        <v>227</v>
      </c>
      <c r="O8" s="24" t="s">
        <v>54</v>
      </c>
      <c r="P8" s="24" t="s">
        <v>124</v>
      </c>
      <c r="R8" s="55">
        <f>+F9</f>
        <v>1628806.67</v>
      </c>
      <c r="S8" t="s">
        <v>56</v>
      </c>
      <c r="U8" s="55"/>
    </row>
    <row r="9" spans="1:24" ht="25.5" x14ac:dyDescent="0.25">
      <c r="A9" s="33">
        <v>7</v>
      </c>
      <c r="B9" s="16"/>
      <c r="C9" s="1" t="s">
        <v>26</v>
      </c>
      <c r="D9" s="33">
        <v>1</v>
      </c>
      <c r="E9" s="1" t="s">
        <v>35</v>
      </c>
      <c r="F9" s="25">
        <v>1628806.67</v>
      </c>
      <c r="G9" s="25">
        <f>0.75*F9</f>
        <v>1221605.0024999999</v>
      </c>
      <c r="H9" s="25">
        <f t="shared" si="2"/>
        <v>407201.66749999998</v>
      </c>
      <c r="I9" s="25">
        <v>85000</v>
      </c>
      <c r="J9" s="25">
        <v>85000</v>
      </c>
      <c r="K9" s="25">
        <v>63000</v>
      </c>
      <c r="L9" s="25"/>
      <c r="M9" s="25"/>
      <c r="N9" s="38" t="s">
        <v>227</v>
      </c>
      <c r="O9" s="24" t="s">
        <v>56</v>
      </c>
      <c r="P9" s="24" t="s">
        <v>124</v>
      </c>
      <c r="U9" s="55"/>
      <c r="X9" s="55"/>
    </row>
    <row r="10" spans="1:24" ht="25.5" x14ac:dyDescent="0.25">
      <c r="A10" s="33">
        <v>8</v>
      </c>
      <c r="B10" s="16"/>
      <c r="C10" s="1" t="s">
        <v>27</v>
      </c>
      <c r="D10" s="33">
        <v>1</v>
      </c>
      <c r="E10" s="1" t="s">
        <v>36</v>
      </c>
      <c r="F10" s="25">
        <v>970266.67</v>
      </c>
      <c r="G10" s="25">
        <f>0.75*F10</f>
        <v>727700.00250000006</v>
      </c>
      <c r="H10" s="25">
        <f t="shared" si="2"/>
        <v>242566.66749999998</v>
      </c>
      <c r="I10" s="25"/>
      <c r="J10" s="25"/>
      <c r="K10" s="25"/>
      <c r="L10" s="25"/>
      <c r="M10" s="25"/>
      <c r="N10" s="38" t="s">
        <v>227</v>
      </c>
      <c r="O10" s="24" t="s">
        <v>54</v>
      </c>
      <c r="P10" s="24" t="s">
        <v>123</v>
      </c>
    </row>
    <row r="11" spans="1:24" x14ac:dyDescent="0.25">
      <c r="A11" s="32" t="s">
        <v>8</v>
      </c>
      <c r="B11" s="20"/>
      <c r="C11" s="77" t="s">
        <v>259</v>
      </c>
      <c r="D11" s="37"/>
      <c r="E11" s="20"/>
      <c r="F11" s="21">
        <f>+F12+F13+F14+F15+F17+F18+F19</f>
        <v>8560000.0199999996</v>
      </c>
      <c r="G11" s="21">
        <f t="shared" ref="G11:M11" si="3">+G12+G13+G14+G15+G17+G18+G19</f>
        <v>6420000.0149999997</v>
      </c>
      <c r="H11" s="21">
        <f t="shared" si="3"/>
        <v>2140000.0049999999</v>
      </c>
      <c r="I11" s="21">
        <f t="shared" si="3"/>
        <v>264000</v>
      </c>
      <c r="J11" s="21">
        <f t="shared" si="3"/>
        <v>264000</v>
      </c>
      <c r="K11" s="21">
        <f t="shared" si="3"/>
        <v>264000</v>
      </c>
      <c r="L11" s="21">
        <f t="shared" si="3"/>
        <v>0</v>
      </c>
      <c r="M11" s="21">
        <f t="shared" si="3"/>
        <v>0</v>
      </c>
      <c r="N11" s="42"/>
      <c r="O11" s="22"/>
      <c r="P11" s="22"/>
      <c r="U11" s="55"/>
    </row>
    <row r="12" spans="1:24" x14ac:dyDescent="0.25">
      <c r="A12" s="33"/>
      <c r="B12" s="16"/>
      <c r="C12" s="78" t="s">
        <v>260</v>
      </c>
      <c r="D12" s="33">
        <v>3</v>
      </c>
      <c r="E12" s="73"/>
      <c r="F12" s="25">
        <v>5333333.34</v>
      </c>
      <c r="G12" s="25">
        <f>0.75*F12</f>
        <v>4000000.0049999999</v>
      </c>
      <c r="H12" s="25">
        <f t="shared" ref="H12" si="4">+F12-G12</f>
        <v>1333333.335</v>
      </c>
      <c r="I12" s="25">
        <v>264000</v>
      </c>
      <c r="J12" s="25">
        <v>264000</v>
      </c>
      <c r="K12" s="25">
        <v>264000</v>
      </c>
      <c r="L12" s="25"/>
      <c r="M12" s="25"/>
      <c r="N12" s="38" t="s">
        <v>227</v>
      </c>
      <c r="O12" s="24" t="s">
        <v>55</v>
      </c>
      <c r="P12" s="24" t="s">
        <v>109</v>
      </c>
    </row>
    <row r="13" spans="1:24" x14ac:dyDescent="0.25">
      <c r="A13" s="33"/>
      <c r="B13" s="16"/>
      <c r="C13" s="78" t="s">
        <v>261</v>
      </c>
      <c r="D13" s="33">
        <v>3</v>
      </c>
      <c r="E13" s="73"/>
      <c r="F13" s="25">
        <v>293333.34000000003</v>
      </c>
      <c r="G13" s="25">
        <f>0.75*F13</f>
        <v>220000.005</v>
      </c>
      <c r="H13" s="25">
        <f t="shared" ref="H13:H20" si="5">+F13-G13</f>
        <v>73333.335000000021</v>
      </c>
      <c r="I13" s="60"/>
      <c r="J13" s="60"/>
      <c r="K13" s="60"/>
      <c r="L13" s="60"/>
      <c r="M13" s="60"/>
      <c r="N13" s="38" t="s">
        <v>227</v>
      </c>
      <c r="O13" s="24" t="s">
        <v>55</v>
      </c>
      <c r="P13" s="62" t="s">
        <v>109</v>
      </c>
    </row>
    <row r="14" spans="1:24" ht="24" x14ac:dyDescent="0.25">
      <c r="A14" s="33"/>
      <c r="B14" s="16"/>
      <c r="C14" s="78" t="s">
        <v>262</v>
      </c>
      <c r="D14" s="33">
        <v>3</v>
      </c>
      <c r="E14" s="73"/>
      <c r="F14" s="25">
        <v>93333.34</v>
      </c>
      <c r="G14" s="25">
        <f>0.75*F14</f>
        <v>70000.005000000005</v>
      </c>
      <c r="H14" s="25">
        <f t="shared" si="5"/>
        <v>23333.334999999992</v>
      </c>
      <c r="I14" s="60"/>
      <c r="J14" s="60"/>
      <c r="K14" s="60"/>
      <c r="L14" s="60"/>
      <c r="M14" s="60"/>
      <c r="N14" s="38" t="s">
        <v>227</v>
      </c>
      <c r="O14" s="24" t="s">
        <v>55</v>
      </c>
      <c r="P14" s="62" t="s">
        <v>109</v>
      </c>
    </row>
    <row r="15" spans="1:24" x14ac:dyDescent="0.25">
      <c r="A15" s="33"/>
      <c r="B15" s="16"/>
      <c r="C15" s="27" t="s">
        <v>257</v>
      </c>
      <c r="D15" s="33">
        <v>3</v>
      </c>
      <c r="F15" s="25">
        <v>2000000</v>
      </c>
      <c r="G15" s="25">
        <f>0.75*F15</f>
        <v>1500000</v>
      </c>
      <c r="H15" s="25">
        <f t="shared" si="5"/>
        <v>500000</v>
      </c>
      <c r="I15" s="60"/>
      <c r="J15" s="60"/>
      <c r="K15" s="60"/>
      <c r="L15" s="60"/>
      <c r="M15" s="60"/>
      <c r="N15" s="38" t="s">
        <v>227</v>
      </c>
      <c r="O15" s="24" t="s">
        <v>55</v>
      </c>
      <c r="P15" s="62" t="s">
        <v>109</v>
      </c>
    </row>
    <row r="16" spans="1:24" ht="24" x14ac:dyDescent="0.25">
      <c r="A16" s="33"/>
      <c r="B16" s="16"/>
      <c r="C16" s="114" t="s">
        <v>257</v>
      </c>
      <c r="D16" s="115">
        <v>3</v>
      </c>
      <c r="E16" s="116" t="s">
        <v>304</v>
      </c>
      <c r="F16" s="23">
        <v>200000</v>
      </c>
      <c r="G16" s="23">
        <f>0.75*F16</f>
        <v>150000</v>
      </c>
      <c r="H16" s="23">
        <f t="shared" si="5"/>
        <v>50000</v>
      </c>
      <c r="I16" s="60"/>
      <c r="J16" s="60"/>
      <c r="K16" s="60"/>
      <c r="L16" s="60"/>
      <c r="M16" s="60"/>
      <c r="N16" s="38" t="s">
        <v>227</v>
      </c>
      <c r="O16" s="24" t="s">
        <v>51</v>
      </c>
      <c r="P16" s="62"/>
    </row>
    <row r="17" spans="1:19" x14ac:dyDescent="0.25">
      <c r="A17" s="33"/>
      <c r="B17" s="16"/>
      <c r="C17" s="78" t="s">
        <v>263</v>
      </c>
      <c r="D17" s="33">
        <v>3</v>
      </c>
      <c r="E17" s="73"/>
      <c r="F17" s="25">
        <v>500000</v>
      </c>
      <c r="G17" s="25">
        <f>0.75*F17</f>
        <v>375000</v>
      </c>
      <c r="H17" s="25">
        <f t="shared" si="5"/>
        <v>125000</v>
      </c>
      <c r="I17" s="60"/>
      <c r="J17" s="60"/>
      <c r="K17" s="60"/>
      <c r="L17" s="60"/>
      <c r="M17" s="60"/>
      <c r="N17" s="38" t="s">
        <v>227</v>
      </c>
      <c r="O17" s="24" t="s">
        <v>55</v>
      </c>
      <c r="P17" s="62" t="s">
        <v>109</v>
      </c>
    </row>
    <row r="18" spans="1:19" ht="24" x14ac:dyDescent="0.25">
      <c r="A18" s="33"/>
      <c r="B18" s="16"/>
      <c r="C18" s="78" t="s">
        <v>264</v>
      </c>
      <c r="D18" s="33">
        <v>3</v>
      </c>
      <c r="E18" s="73"/>
      <c r="F18" s="25">
        <v>200000</v>
      </c>
      <c r="G18" s="25">
        <v>150000</v>
      </c>
      <c r="H18" s="25">
        <f t="shared" si="5"/>
        <v>50000</v>
      </c>
      <c r="I18" s="60"/>
      <c r="J18" s="60"/>
      <c r="K18" s="60"/>
      <c r="L18" s="60"/>
      <c r="M18" s="60"/>
      <c r="N18" s="38" t="s">
        <v>227</v>
      </c>
      <c r="O18" s="24" t="s">
        <v>55</v>
      </c>
      <c r="P18" s="62" t="s">
        <v>109</v>
      </c>
    </row>
    <row r="19" spans="1:19" ht="24" x14ac:dyDescent="0.25">
      <c r="A19" s="92"/>
      <c r="B19" s="93"/>
      <c r="C19" s="94" t="s">
        <v>265</v>
      </c>
      <c r="D19" s="92">
        <v>3</v>
      </c>
      <c r="E19" s="95"/>
      <c r="F19" s="96">
        <v>140000</v>
      </c>
      <c r="G19" s="96">
        <v>105000</v>
      </c>
      <c r="H19" s="96">
        <f t="shared" si="5"/>
        <v>35000</v>
      </c>
      <c r="I19" s="60"/>
      <c r="J19" s="60"/>
      <c r="K19" s="60"/>
      <c r="L19" s="60"/>
      <c r="M19" s="60"/>
      <c r="N19" s="97" t="s">
        <v>227</v>
      </c>
      <c r="O19" s="98" t="s">
        <v>55</v>
      </c>
      <c r="P19" s="62" t="s">
        <v>132</v>
      </c>
    </row>
    <row r="20" spans="1:19" x14ac:dyDescent="0.25">
      <c r="A20" s="32" t="s">
        <v>7</v>
      </c>
      <c r="B20" s="20"/>
      <c r="C20" s="77" t="s">
        <v>283</v>
      </c>
      <c r="D20" s="37"/>
      <c r="E20" s="20"/>
      <c r="F20" s="21">
        <v>31711933.370000001</v>
      </c>
      <c r="G20" s="21">
        <v>25494240</v>
      </c>
      <c r="H20" s="21">
        <f t="shared" si="5"/>
        <v>6217693.370000001</v>
      </c>
      <c r="I20" s="25"/>
      <c r="J20" s="25"/>
      <c r="K20" s="25"/>
      <c r="L20" s="25"/>
      <c r="M20" s="25"/>
      <c r="N20" s="38"/>
      <c r="O20" s="24"/>
      <c r="P20" s="24"/>
    </row>
    <row r="21" spans="1:19" ht="24" x14ac:dyDescent="0.25">
      <c r="A21" s="79"/>
      <c r="B21" s="80"/>
      <c r="C21" s="84" t="s">
        <v>266</v>
      </c>
      <c r="D21" s="81">
        <v>1</v>
      </c>
      <c r="E21" s="80"/>
      <c r="F21" s="85">
        <f>+G21+H21</f>
        <v>3179819.9600000004</v>
      </c>
      <c r="G21" s="91">
        <v>2384864.9700000002</v>
      </c>
      <c r="H21" s="85">
        <f>+G21/3</f>
        <v>794954.99000000011</v>
      </c>
      <c r="I21" s="80"/>
      <c r="J21" s="80"/>
      <c r="K21" s="80"/>
      <c r="L21" s="80"/>
      <c r="M21" s="80"/>
      <c r="N21" s="38" t="s">
        <v>227</v>
      </c>
      <c r="O21" s="24" t="s">
        <v>53</v>
      </c>
      <c r="P21" s="24" t="s">
        <v>122</v>
      </c>
    </row>
    <row r="22" spans="1:19" ht="24" x14ac:dyDescent="0.25">
      <c r="A22" s="79"/>
      <c r="B22" s="80"/>
      <c r="C22" s="84" t="s">
        <v>267</v>
      </c>
      <c r="D22" s="81">
        <v>1</v>
      </c>
      <c r="E22" s="80"/>
      <c r="F22" s="85">
        <f t="shared" ref="F22:F37" si="6">+G22+H22</f>
        <v>653333.33333333337</v>
      </c>
      <c r="G22" s="85">
        <v>490000</v>
      </c>
      <c r="H22" s="85">
        <f t="shared" ref="H22:H35" si="7">+G22/3</f>
        <v>163333.33333333334</v>
      </c>
      <c r="I22" s="80"/>
      <c r="J22" s="80"/>
      <c r="K22" s="80"/>
      <c r="L22" s="80"/>
      <c r="M22" s="80"/>
      <c r="N22" s="38" t="s">
        <v>227</v>
      </c>
      <c r="O22" s="24" t="s">
        <v>53</v>
      </c>
      <c r="P22" s="24" t="s">
        <v>122</v>
      </c>
    </row>
    <row r="23" spans="1:19" ht="24" x14ac:dyDescent="0.25">
      <c r="A23" s="79"/>
      <c r="B23" s="80"/>
      <c r="C23" s="84" t="s">
        <v>268</v>
      </c>
      <c r="D23" s="81">
        <v>1</v>
      </c>
      <c r="E23" s="80"/>
      <c r="F23" s="85">
        <f t="shared" si="6"/>
        <v>653333.33333333337</v>
      </c>
      <c r="G23" s="85">
        <v>490000</v>
      </c>
      <c r="H23" s="85">
        <f t="shared" si="7"/>
        <v>163333.33333333334</v>
      </c>
      <c r="I23" s="80"/>
      <c r="J23" s="80"/>
      <c r="K23" s="80"/>
      <c r="L23" s="80"/>
      <c r="M23" s="80"/>
      <c r="N23" s="38" t="s">
        <v>227</v>
      </c>
      <c r="O23" s="24" t="s">
        <v>53</v>
      </c>
      <c r="P23" s="24" t="s">
        <v>122</v>
      </c>
    </row>
    <row r="24" spans="1:19" ht="24" x14ac:dyDescent="0.25">
      <c r="A24" s="79"/>
      <c r="B24" s="80"/>
      <c r="C24" s="84" t="s">
        <v>269</v>
      </c>
      <c r="D24" s="81">
        <v>1</v>
      </c>
      <c r="E24" s="80"/>
      <c r="F24" s="85">
        <f t="shared" si="6"/>
        <v>151289.05333333332</v>
      </c>
      <c r="G24" s="85">
        <v>113466.79</v>
      </c>
      <c r="H24" s="85">
        <f t="shared" si="7"/>
        <v>37822.263333333329</v>
      </c>
      <c r="I24" s="80"/>
      <c r="J24" s="80"/>
      <c r="K24" s="80"/>
      <c r="L24" s="80"/>
      <c r="M24" s="80"/>
      <c r="N24" s="38" t="s">
        <v>227</v>
      </c>
      <c r="O24" s="24" t="s">
        <v>53</v>
      </c>
      <c r="P24" s="24" t="s">
        <v>122</v>
      </c>
    </row>
    <row r="25" spans="1:19" ht="36" x14ac:dyDescent="0.25">
      <c r="A25" s="79"/>
      <c r="B25" s="80"/>
      <c r="C25" s="87" t="s">
        <v>270</v>
      </c>
      <c r="D25" s="81">
        <v>1</v>
      </c>
      <c r="E25" s="80"/>
      <c r="F25" s="85">
        <f t="shared" si="6"/>
        <v>46666.666666666664</v>
      </c>
      <c r="G25" s="88">
        <v>35000</v>
      </c>
      <c r="H25" s="85">
        <f t="shared" si="7"/>
        <v>11666.666666666666</v>
      </c>
      <c r="I25" s="80"/>
      <c r="J25" s="80"/>
      <c r="K25" s="80"/>
      <c r="L25" s="80"/>
      <c r="M25" s="80"/>
      <c r="N25" s="38" t="s">
        <v>227</v>
      </c>
      <c r="O25" s="24" t="s">
        <v>53</v>
      </c>
      <c r="P25" s="24" t="s">
        <v>124</v>
      </c>
    </row>
    <row r="26" spans="1:19" ht="24" x14ac:dyDescent="0.25">
      <c r="A26" s="79"/>
      <c r="B26" s="80"/>
      <c r="C26" s="84" t="s">
        <v>271</v>
      </c>
      <c r="D26" s="81">
        <v>1</v>
      </c>
      <c r="E26" s="80"/>
      <c r="F26" s="85">
        <f t="shared" si="6"/>
        <v>364881.93333333335</v>
      </c>
      <c r="G26" s="85">
        <v>273661.45</v>
      </c>
      <c r="H26" s="85">
        <f t="shared" si="7"/>
        <v>91220.483333333337</v>
      </c>
      <c r="I26" s="80"/>
      <c r="J26" s="80"/>
      <c r="K26" s="80"/>
      <c r="L26" s="80"/>
      <c r="M26" s="80"/>
      <c r="N26" s="38" t="s">
        <v>227</v>
      </c>
      <c r="O26" s="24" t="s">
        <v>53</v>
      </c>
      <c r="P26" s="24" t="s">
        <v>122</v>
      </c>
    </row>
    <row r="27" spans="1:19" ht="24" x14ac:dyDescent="0.25">
      <c r="A27" s="79"/>
      <c r="B27" s="80"/>
      <c r="C27" s="84" t="s">
        <v>272</v>
      </c>
      <c r="D27" s="81">
        <v>1</v>
      </c>
      <c r="E27" s="80"/>
      <c r="F27" s="85">
        <f t="shared" si="6"/>
        <v>400000</v>
      </c>
      <c r="G27" s="85">
        <v>300000</v>
      </c>
      <c r="H27" s="85">
        <f t="shared" si="7"/>
        <v>100000</v>
      </c>
      <c r="I27" s="80"/>
      <c r="J27" s="80"/>
      <c r="K27" s="80"/>
      <c r="L27" s="80"/>
      <c r="M27" s="80"/>
      <c r="N27" s="38" t="s">
        <v>227</v>
      </c>
      <c r="O27" s="24" t="s">
        <v>53</v>
      </c>
      <c r="P27" s="24" t="s">
        <v>122</v>
      </c>
    </row>
    <row r="28" spans="1:19" ht="24" x14ac:dyDescent="0.25">
      <c r="A28" s="79"/>
      <c r="B28" s="80"/>
      <c r="C28" s="84" t="s">
        <v>273</v>
      </c>
      <c r="D28" s="81">
        <v>1</v>
      </c>
      <c r="E28" s="80"/>
      <c r="F28" s="85">
        <f t="shared" si="6"/>
        <v>8400000</v>
      </c>
      <c r="G28" s="85">
        <v>6300000</v>
      </c>
      <c r="H28" s="85">
        <f t="shared" si="7"/>
        <v>2100000</v>
      </c>
      <c r="I28" s="80"/>
      <c r="J28" s="80"/>
      <c r="K28" s="80"/>
      <c r="L28" s="80"/>
      <c r="M28" s="80"/>
      <c r="N28" s="38" t="s">
        <v>227</v>
      </c>
      <c r="O28" s="24" t="s">
        <v>53</v>
      </c>
      <c r="P28" s="24" t="s">
        <v>125</v>
      </c>
    </row>
    <row r="29" spans="1:19" ht="24" x14ac:dyDescent="0.25">
      <c r="A29" s="79"/>
      <c r="B29" s="80"/>
      <c r="C29" s="84" t="s">
        <v>274</v>
      </c>
      <c r="D29" s="81">
        <v>1</v>
      </c>
      <c r="E29" s="80"/>
      <c r="F29" s="85">
        <f t="shared" si="6"/>
        <v>1400000</v>
      </c>
      <c r="G29" s="85">
        <v>1050000</v>
      </c>
      <c r="H29" s="85">
        <f t="shared" si="7"/>
        <v>350000</v>
      </c>
      <c r="I29" s="80"/>
      <c r="J29" s="80"/>
      <c r="K29" s="80"/>
      <c r="L29" s="80"/>
      <c r="M29" s="80"/>
      <c r="N29" s="38" t="s">
        <v>227</v>
      </c>
      <c r="O29" s="24" t="s">
        <v>53</v>
      </c>
      <c r="P29" s="24" t="s">
        <v>125</v>
      </c>
    </row>
    <row r="30" spans="1:19" ht="24" x14ac:dyDescent="0.25">
      <c r="A30" s="79"/>
      <c r="B30" s="80"/>
      <c r="C30" s="84" t="s">
        <v>275</v>
      </c>
      <c r="D30" s="81">
        <v>1</v>
      </c>
      <c r="E30" s="80"/>
      <c r="F30" s="85">
        <f t="shared" si="6"/>
        <v>1200000</v>
      </c>
      <c r="G30" s="88">
        <v>900000</v>
      </c>
      <c r="H30" s="85">
        <f t="shared" si="7"/>
        <v>300000</v>
      </c>
      <c r="I30" s="80"/>
      <c r="J30" s="80"/>
      <c r="K30" s="80"/>
      <c r="L30" s="80"/>
      <c r="M30" s="80"/>
      <c r="N30" s="38" t="s">
        <v>227</v>
      </c>
      <c r="O30" s="24" t="s">
        <v>53</v>
      </c>
      <c r="P30" s="24" t="s">
        <v>128</v>
      </c>
    </row>
    <row r="31" spans="1:19" ht="24" x14ac:dyDescent="0.25">
      <c r="A31" s="79"/>
      <c r="B31" s="80"/>
      <c r="C31" s="89" t="s">
        <v>276</v>
      </c>
      <c r="D31" s="81">
        <v>2</v>
      </c>
      <c r="E31" s="80"/>
      <c r="F31" s="85">
        <f t="shared" si="6"/>
        <v>193000</v>
      </c>
      <c r="G31" s="88">
        <v>144750</v>
      </c>
      <c r="H31" s="85">
        <f t="shared" si="7"/>
        <v>48250</v>
      </c>
      <c r="I31" s="80"/>
      <c r="J31" s="80"/>
      <c r="K31" s="80"/>
      <c r="L31" s="80"/>
      <c r="M31" s="80"/>
      <c r="N31" s="38" t="s">
        <v>47</v>
      </c>
      <c r="O31" s="24" t="s">
        <v>60</v>
      </c>
      <c r="P31" s="24" t="s">
        <v>137</v>
      </c>
      <c r="R31" s="55">
        <f>+F31+F32+F33+F34+F35+F36</f>
        <v>18316275.733333334</v>
      </c>
      <c r="S31" t="s">
        <v>301</v>
      </c>
    </row>
    <row r="32" spans="1:19" ht="36" x14ac:dyDescent="0.25">
      <c r="A32" s="79"/>
      <c r="B32" s="80"/>
      <c r="C32" s="90" t="s">
        <v>277</v>
      </c>
      <c r="D32" s="81">
        <v>2</v>
      </c>
      <c r="E32" s="80"/>
      <c r="F32" s="85">
        <f t="shared" si="6"/>
        <v>13259015.68</v>
      </c>
      <c r="G32" s="88">
        <v>9944261.7599999998</v>
      </c>
      <c r="H32" s="85">
        <f t="shared" si="7"/>
        <v>3314753.92</v>
      </c>
      <c r="I32" s="80"/>
      <c r="J32" s="80"/>
      <c r="K32" s="80"/>
      <c r="L32" s="80"/>
      <c r="M32" s="80"/>
      <c r="N32" s="38" t="s">
        <v>47</v>
      </c>
      <c r="O32" s="24" t="s">
        <v>60</v>
      </c>
      <c r="P32" s="24" t="s">
        <v>135</v>
      </c>
    </row>
    <row r="33" spans="1:25" ht="36" x14ac:dyDescent="0.25">
      <c r="A33" s="79"/>
      <c r="B33" s="80"/>
      <c r="C33" s="89" t="s">
        <v>278</v>
      </c>
      <c r="D33" s="81">
        <v>2</v>
      </c>
      <c r="E33" s="80"/>
      <c r="F33" s="85">
        <f t="shared" si="6"/>
        <v>400000</v>
      </c>
      <c r="G33" s="88">
        <v>300000</v>
      </c>
      <c r="H33" s="85">
        <f t="shared" si="7"/>
        <v>100000</v>
      </c>
      <c r="I33" s="80"/>
      <c r="J33" s="80"/>
      <c r="K33" s="80"/>
      <c r="L33" s="80"/>
      <c r="M33" s="80"/>
      <c r="N33" s="38" t="s">
        <v>47</v>
      </c>
      <c r="O33" s="24" t="s">
        <v>60</v>
      </c>
      <c r="P33" s="24" t="s">
        <v>138</v>
      </c>
    </row>
    <row r="34" spans="1:25" ht="24" x14ac:dyDescent="0.25">
      <c r="A34" s="79"/>
      <c r="B34" s="80"/>
      <c r="C34" s="84" t="s">
        <v>279</v>
      </c>
      <c r="D34" s="81">
        <v>2</v>
      </c>
      <c r="E34" s="80"/>
      <c r="F34" s="85">
        <f t="shared" si="6"/>
        <v>1680000</v>
      </c>
      <c r="G34" s="85">
        <v>1260000</v>
      </c>
      <c r="H34" s="85">
        <f t="shared" si="7"/>
        <v>420000</v>
      </c>
      <c r="I34" s="80"/>
      <c r="J34" s="80"/>
      <c r="K34" s="80"/>
      <c r="L34" s="80"/>
      <c r="M34" s="80"/>
      <c r="N34" s="38" t="s">
        <v>47</v>
      </c>
      <c r="O34" s="24" t="s">
        <v>60</v>
      </c>
      <c r="P34" s="24" t="s">
        <v>137</v>
      </c>
    </row>
    <row r="35" spans="1:25" ht="36" x14ac:dyDescent="0.25">
      <c r="A35" s="79"/>
      <c r="B35" s="80"/>
      <c r="C35" s="84" t="s">
        <v>280</v>
      </c>
      <c r="D35" s="81">
        <v>2</v>
      </c>
      <c r="E35" s="80"/>
      <c r="F35" s="85">
        <f t="shared" si="6"/>
        <v>2084260.0533333335</v>
      </c>
      <c r="G35" s="85">
        <v>1563195.04</v>
      </c>
      <c r="H35" s="85">
        <f t="shared" si="7"/>
        <v>521065.01333333337</v>
      </c>
      <c r="I35" s="80"/>
      <c r="J35" s="80"/>
      <c r="K35" s="80"/>
      <c r="L35" s="80"/>
      <c r="M35" s="80"/>
      <c r="N35" s="38" t="s">
        <v>47</v>
      </c>
      <c r="O35" s="24" t="s">
        <v>60</v>
      </c>
      <c r="P35" s="24" t="s">
        <v>138</v>
      </c>
    </row>
    <row r="36" spans="1:25" ht="24" x14ac:dyDescent="0.25">
      <c r="A36" s="79"/>
      <c r="B36" s="80"/>
      <c r="C36" s="90" t="s">
        <v>281</v>
      </c>
      <c r="D36" s="81">
        <v>2</v>
      </c>
      <c r="E36" s="80"/>
      <c r="F36" s="85">
        <v>700000</v>
      </c>
      <c r="G36" s="88">
        <v>700000</v>
      </c>
      <c r="H36" s="85">
        <v>0</v>
      </c>
      <c r="I36" s="80"/>
      <c r="J36" s="80"/>
      <c r="K36" s="80"/>
      <c r="L36" s="80"/>
      <c r="M36" s="80"/>
      <c r="N36" s="38" t="s">
        <v>47</v>
      </c>
      <c r="O36" s="24" t="s">
        <v>60</v>
      </c>
      <c r="P36" s="24" t="s">
        <v>132</v>
      </c>
    </row>
    <row r="37" spans="1:25" x14ac:dyDescent="0.25">
      <c r="A37" s="79"/>
      <c r="B37" s="80"/>
      <c r="C37" s="87" t="s">
        <v>282</v>
      </c>
      <c r="D37" s="81">
        <v>2</v>
      </c>
      <c r="E37" s="80"/>
      <c r="F37" s="85">
        <f t="shared" si="6"/>
        <v>68600</v>
      </c>
      <c r="G37" s="88">
        <v>61740</v>
      </c>
      <c r="H37" s="85">
        <f>+G37/9</f>
        <v>6860</v>
      </c>
      <c r="I37" s="80"/>
      <c r="J37" s="80"/>
      <c r="K37" s="80"/>
      <c r="L37" s="80"/>
      <c r="M37" s="80"/>
      <c r="N37" s="38" t="s">
        <v>227</v>
      </c>
      <c r="O37" s="24" t="s">
        <v>55</v>
      </c>
      <c r="P37" s="24" t="s">
        <v>109</v>
      </c>
    </row>
    <row r="38" spans="1:25" x14ac:dyDescent="0.25">
      <c r="C38" s="86"/>
      <c r="F38" s="55"/>
      <c r="G38" s="55"/>
      <c r="H38" s="55"/>
    </row>
    <row r="39" spans="1:25" ht="32.25" customHeight="1" x14ac:dyDescent="0.25">
      <c r="A39" s="54" t="s">
        <v>258</v>
      </c>
      <c r="I39" s="3">
        <v>2025</v>
      </c>
      <c r="J39" s="3">
        <v>2026</v>
      </c>
      <c r="K39" s="3">
        <v>2027</v>
      </c>
      <c r="L39" s="3">
        <v>2028</v>
      </c>
      <c r="M39" s="3">
        <v>2029</v>
      </c>
      <c r="N39" s="40"/>
      <c r="O39" s="3"/>
      <c r="P39" s="3"/>
      <c r="U39" s="55"/>
    </row>
    <row r="41" spans="1:25" ht="42.75" customHeight="1" x14ac:dyDescent="0.25">
      <c r="A41" s="30" t="s">
        <v>0</v>
      </c>
      <c r="B41" s="30" t="s">
        <v>1</v>
      </c>
      <c r="C41" s="35"/>
      <c r="D41" s="35" t="s">
        <v>285</v>
      </c>
      <c r="E41" s="35"/>
      <c r="F41" s="35" t="s">
        <v>3</v>
      </c>
      <c r="G41" s="35" t="s">
        <v>4</v>
      </c>
      <c r="H41" s="35" t="s">
        <v>5</v>
      </c>
      <c r="I41" s="35">
        <v>2025</v>
      </c>
      <c r="J41" s="43">
        <v>2026</v>
      </c>
      <c r="K41" s="43">
        <v>2027</v>
      </c>
      <c r="L41" s="43">
        <v>2028</v>
      </c>
      <c r="M41" s="43">
        <v>2029</v>
      </c>
      <c r="N41" s="44" t="s">
        <v>46</v>
      </c>
      <c r="O41" s="44" t="s">
        <v>61</v>
      </c>
      <c r="P41" s="44" t="s">
        <v>228</v>
      </c>
    </row>
    <row r="42" spans="1:25" ht="32.25" customHeight="1" x14ac:dyDescent="0.25">
      <c r="A42" s="31"/>
      <c r="B42" s="17"/>
      <c r="C42" s="17" t="s">
        <v>9</v>
      </c>
      <c r="D42" s="36"/>
      <c r="E42" s="17"/>
      <c r="F42" s="18">
        <f>+F43+F46</f>
        <v>10148275</v>
      </c>
      <c r="G42" s="18">
        <f>+G43+G46+G52</f>
        <v>8459224</v>
      </c>
      <c r="H42" s="18">
        <f t="shared" ref="H42" si="8">+H43+H46</f>
        <v>2167875</v>
      </c>
      <c r="I42" s="18" t="e">
        <f>+#REF!+I43+I77</f>
        <v>#REF!</v>
      </c>
      <c r="J42" s="18" t="e">
        <f>+#REF!+J43+J77</f>
        <v>#REF!</v>
      </c>
      <c r="K42" s="18" t="e">
        <f>+#REF!+K43+K77</f>
        <v>#REF!</v>
      </c>
      <c r="L42" s="18" t="e">
        <f>+#REF!+L43+L77</f>
        <v>#REF!</v>
      </c>
      <c r="M42" s="18" t="e">
        <f>+#REF!+M43+M77</f>
        <v>#REF!</v>
      </c>
      <c r="N42" s="41"/>
      <c r="O42" s="19"/>
      <c r="P42" s="19"/>
      <c r="S42" s="55"/>
    </row>
    <row r="43" spans="1:25" ht="31.5" customHeight="1" x14ac:dyDescent="0.25">
      <c r="A43" s="32" t="s">
        <v>6</v>
      </c>
      <c r="B43" s="20"/>
      <c r="C43" s="77" t="s">
        <v>255</v>
      </c>
      <c r="D43" s="37"/>
      <c r="E43" s="20"/>
      <c r="F43" s="21">
        <f>+F44+F45</f>
        <v>1025000</v>
      </c>
      <c r="G43" s="21">
        <f t="shared" ref="G43:H43" si="9">+G44+G45</f>
        <v>966750</v>
      </c>
      <c r="H43" s="21">
        <f t="shared" si="9"/>
        <v>58250</v>
      </c>
      <c r="I43" s="21" t="e">
        <f>+#REF!+#REF!+#REF!+#REF!+#REF!+#REF!+#REF!+#REF!+I66</f>
        <v>#REF!</v>
      </c>
      <c r="J43" s="21" t="e">
        <f>+#REF!+#REF!+#REF!+#REF!+#REF!+#REF!+#REF!+#REF!+J66</f>
        <v>#REF!</v>
      </c>
      <c r="K43" s="21" t="e">
        <f>+#REF!+#REF!+#REF!+#REF!+#REF!+#REF!+#REF!+#REF!+K66</f>
        <v>#REF!</v>
      </c>
      <c r="L43" s="21" t="e">
        <f>+#REF!+#REF!+#REF!+#REF!+#REF!+#REF!+#REF!+#REF!+L66</f>
        <v>#REF!</v>
      </c>
      <c r="M43" s="21" t="e">
        <f>+#REF!+#REF!+#REF!+#REF!+#REF!+#REF!+#REF!+#REF!+M66</f>
        <v>#REF!</v>
      </c>
      <c r="N43" s="42"/>
      <c r="O43" s="22"/>
      <c r="P43" s="22"/>
      <c r="S43" s="55"/>
      <c r="T43" s="55"/>
    </row>
    <row r="44" spans="1:25" ht="51" x14ac:dyDescent="0.25">
      <c r="A44" s="33">
        <v>5</v>
      </c>
      <c r="B44" s="16"/>
      <c r="C44" s="27" t="s">
        <v>24</v>
      </c>
      <c r="D44" s="33">
        <v>1</v>
      </c>
      <c r="E44" s="7" t="s">
        <v>33</v>
      </c>
      <c r="F44" s="25">
        <f>+I44+J44+K44</f>
        <v>792000</v>
      </c>
      <c r="G44" s="25">
        <f>+F44</f>
        <v>792000</v>
      </c>
      <c r="H44" s="25">
        <f t="shared" ref="H44:H45" si="10">+F44-G44</f>
        <v>0</v>
      </c>
      <c r="I44" s="25">
        <v>264000</v>
      </c>
      <c r="J44" s="25">
        <v>264000</v>
      </c>
      <c r="K44" s="25">
        <v>264000</v>
      </c>
      <c r="L44" s="25"/>
      <c r="M44" s="25"/>
      <c r="N44" s="38" t="s">
        <v>227</v>
      </c>
      <c r="O44" s="24" t="s">
        <v>54</v>
      </c>
      <c r="P44" s="24" t="s">
        <v>128</v>
      </c>
      <c r="S44" s="55">
        <f>792000*1.06+3764649.04</f>
        <v>4604169.04</v>
      </c>
    </row>
    <row r="45" spans="1:25" ht="25.5" x14ac:dyDescent="0.25">
      <c r="A45" s="33">
        <v>7</v>
      </c>
      <c r="B45" s="16"/>
      <c r="C45" s="1" t="s">
        <v>26</v>
      </c>
      <c r="D45" s="33">
        <v>1</v>
      </c>
      <c r="E45" s="1" t="s">
        <v>35</v>
      </c>
      <c r="F45" s="25">
        <f>+I45+J45+K45</f>
        <v>233000</v>
      </c>
      <c r="G45" s="25">
        <f>0.75*F45</f>
        <v>174750</v>
      </c>
      <c r="H45" s="25">
        <f t="shared" si="10"/>
        <v>58250</v>
      </c>
      <c r="I45" s="25">
        <v>85000</v>
      </c>
      <c r="J45" s="25">
        <v>85000</v>
      </c>
      <c r="K45" s="25">
        <v>63000</v>
      </c>
      <c r="L45" s="25"/>
      <c r="M45" s="25"/>
      <c r="N45" s="38" t="s">
        <v>227</v>
      </c>
      <c r="O45" s="24" t="s">
        <v>56</v>
      </c>
      <c r="P45" s="24" t="s">
        <v>124</v>
      </c>
      <c r="S45" s="55">
        <f>+S46+S47</f>
        <v>8459224</v>
      </c>
    </row>
    <row r="46" spans="1:25" ht="29.25" customHeight="1" x14ac:dyDescent="0.25">
      <c r="A46" s="32" t="s">
        <v>7</v>
      </c>
      <c r="B46" s="20"/>
      <c r="C46" s="20"/>
      <c r="D46" s="37"/>
      <c r="E46" s="20"/>
      <c r="F46" s="21">
        <f>+F47+F48+F49+F50+F51</f>
        <v>9123275</v>
      </c>
      <c r="G46" s="21">
        <f t="shared" ref="G46:M46" si="11">+G47+G48+G49+G50+G51</f>
        <v>7013650</v>
      </c>
      <c r="H46" s="21">
        <f t="shared" si="11"/>
        <v>2109625</v>
      </c>
      <c r="I46" s="21">
        <f t="shared" si="11"/>
        <v>140000</v>
      </c>
      <c r="J46" s="21">
        <f t="shared" si="11"/>
        <v>2944000</v>
      </c>
      <c r="K46" s="21">
        <f t="shared" si="11"/>
        <v>1927500</v>
      </c>
      <c r="L46" s="21">
        <f t="shared" si="11"/>
        <v>1922500</v>
      </c>
      <c r="M46" s="21">
        <f t="shared" si="11"/>
        <v>1922500</v>
      </c>
      <c r="N46" s="42"/>
      <c r="O46" s="22"/>
      <c r="P46" s="22"/>
      <c r="S46" s="55">
        <v>1240200</v>
      </c>
    </row>
    <row r="47" spans="1:25" ht="144" x14ac:dyDescent="0.25">
      <c r="A47" s="33">
        <v>6</v>
      </c>
      <c r="B47" s="16"/>
      <c r="C47" s="2" t="s">
        <v>242</v>
      </c>
      <c r="D47" s="33">
        <v>1</v>
      </c>
      <c r="E47" s="25" t="s">
        <v>241</v>
      </c>
      <c r="F47" s="25">
        <f>529200+155575</f>
        <v>684775</v>
      </c>
      <c r="G47" s="25">
        <f>+F47</f>
        <v>684775</v>
      </c>
      <c r="H47" s="25">
        <f>+F47-G47</f>
        <v>0</v>
      </c>
      <c r="I47" s="25">
        <v>30000</v>
      </c>
      <c r="J47" s="25">
        <v>116000</v>
      </c>
      <c r="K47" s="25">
        <v>66000</v>
      </c>
      <c r="L47" s="25">
        <v>61000</v>
      </c>
      <c r="M47" s="25">
        <v>61000</v>
      </c>
      <c r="N47" s="38" t="s">
        <v>227</v>
      </c>
      <c r="O47" s="24" t="s">
        <v>53</v>
      </c>
      <c r="P47" s="24" t="s">
        <v>128</v>
      </c>
      <c r="R47" s="55">
        <f>5843650+G45+G44</f>
        <v>6810400</v>
      </c>
      <c r="S47" s="55">
        <f>+R47*1.06</f>
        <v>7219024</v>
      </c>
      <c r="T47" s="55">
        <f>+G47+G49+G51</f>
        <v>2771462.5</v>
      </c>
      <c r="U47">
        <f>+T47*1.06</f>
        <v>2937750.25</v>
      </c>
    </row>
    <row r="48" spans="1:25" s="8" customFormat="1" ht="293.25" customHeight="1" x14ac:dyDescent="0.25">
      <c r="A48" s="33">
        <v>1</v>
      </c>
      <c r="B48" s="16"/>
      <c r="C48" s="7" t="s">
        <v>37</v>
      </c>
      <c r="D48" s="33">
        <v>1</v>
      </c>
      <c r="E48" s="7" t="s">
        <v>236</v>
      </c>
      <c r="F48" s="25">
        <f>+I48+J48+K48+L48+M48</f>
        <v>4096250</v>
      </c>
      <c r="G48" s="25">
        <f>0.75*F48</f>
        <v>3072187.5</v>
      </c>
      <c r="H48" s="25">
        <f>+F48-G48</f>
        <v>1024062.5</v>
      </c>
      <c r="I48" s="25">
        <v>0</v>
      </c>
      <c r="J48" s="25">
        <v>622250</v>
      </c>
      <c r="K48" s="25">
        <v>1158000</v>
      </c>
      <c r="L48" s="25">
        <v>1158000</v>
      </c>
      <c r="M48" s="25">
        <v>1158000</v>
      </c>
      <c r="N48" s="38" t="s">
        <v>227</v>
      </c>
      <c r="O48" s="24" t="s">
        <v>59</v>
      </c>
      <c r="P48" s="24" t="s">
        <v>126</v>
      </c>
      <c r="R48" s="56">
        <v>2771462.5</v>
      </c>
      <c r="S48" s="56">
        <f>+R48*1.06</f>
        <v>2937750.25</v>
      </c>
      <c r="T48" s="8">
        <f>+G48*1.06</f>
        <v>3256518.75</v>
      </c>
      <c r="U48" s="56">
        <f>+G48*1.06+11711300</f>
        <v>14967818.75</v>
      </c>
      <c r="W48" s="56"/>
      <c r="Y48" s="56"/>
    </row>
    <row r="49" spans="1:25" s="8" customFormat="1" ht="369.75" x14ac:dyDescent="0.25">
      <c r="A49" s="33">
        <v>3</v>
      </c>
      <c r="B49" s="16"/>
      <c r="C49" s="7" t="s">
        <v>38</v>
      </c>
      <c r="D49" s="33">
        <v>1</v>
      </c>
      <c r="E49" s="7" t="s">
        <v>238</v>
      </c>
      <c r="F49" s="25">
        <f>+I49+J49+K49+L49+M49</f>
        <v>782250</v>
      </c>
      <c r="G49" s="25">
        <f>0.75*F49</f>
        <v>586687.5</v>
      </c>
      <c r="H49" s="25">
        <f>+F49-G49</f>
        <v>195562.5</v>
      </c>
      <c r="I49" s="25">
        <v>0</v>
      </c>
      <c r="J49" s="25">
        <v>159750</v>
      </c>
      <c r="K49" s="25">
        <v>207500</v>
      </c>
      <c r="L49" s="25">
        <v>207500</v>
      </c>
      <c r="M49" s="25">
        <v>207500</v>
      </c>
      <c r="N49" s="38" t="s">
        <v>227</v>
      </c>
      <c r="O49" s="24" t="s">
        <v>53</v>
      </c>
      <c r="P49" s="24" t="s">
        <v>122</v>
      </c>
      <c r="S49" s="8">
        <v>18138369.77</v>
      </c>
      <c r="U49" s="56">
        <f>+S48+S49</f>
        <v>21076120.02</v>
      </c>
      <c r="W49" s="56"/>
      <c r="Y49" s="56"/>
    </row>
    <row r="50" spans="1:25" s="8" customFormat="1" ht="216.75" x14ac:dyDescent="0.25">
      <c r="A50" s="33">
        <v>4</v>
      </c>
      <c r="B50" s="16"/>
      <c r="C50" s="7" t="s">
        <v>39</v>
      </c>
      <c r="D50" s="33">
        <v>1</v>
      </c>
      <c r="E50" s="7" t="s">
        <v>240</v>
      </c>
      <c r="F50" s="99">
        <v>1560000</v>
      </c>
      <c r="G50" s="25">
        <f>0.75*F50</f>
        <v>1170000</v>
      </c>
      <c r="H50" s="25">
        <f>+F50-G50</f>
        <v>390000</v>
      </c>
      <c r="I50" s="25">
        <v>60000</v>
      </c>
      <c r="J50" s="25">
        <v>396000</v>
      </c>
      <c r="K50" s="25">
        <v>396000</v>
      </c>
      <c r="L50" s="25">
        <v>396000</v>
      </c>
      <c r="M50" s="25">
        <v>396000</v>
      </c>
      <c r="N50" s="38" t="s">
        <v>47</v>
      </c>
      <c r="O50" s="24" t="s">
        <v>60</v>
      </c>
      <c r="P50" s="24" t="s">
        <v>138</v>
      </c>
      <c r="R50" s="56">
        <f>1170000*1.06</f>
        <v>1240200</v>
      </c>
      <c r="W50" s="56"/>
      <c r="Y50" s="56"/>
    </row>
    <row r="51" spans="1:25" ht="267.75" x14ac:dyDescent="0.25">
      <c r="A51" s="33">
        <v>5</v>
      </c>
      <c r="B51" s="16"/>
      <c r="C51" s="2" t="s">
        <v>40</v>
      </c>
      <c r="D51" s="33">
        <v>1</v>
      </c>
      <c r="E51" s="2" t="s">
        <v>239</v>
      </c>
      <c r="F51" s="99">
        <f>+I51+J51+K51+L51+M51</f>
        <v>2000000</v>
      </c>
      <c r="G51" s="25">
        <f>0.75*F51</f>
        <v>1500000</v>
      </c>
      <c r="H51" s="25">
        <f>+F51-G51</f>
        <v>500000</v>
      </c>
      <c r="I51" s="25">
        <v>50000</v>
      </c>
      <c r="J51" s="25">
        <v>1650000</v>
      </c>
      <c r="K51" s="25">
        <v>100000</v>
      </c>
      <c r="L51" s="25">
        <v>100000</v>
      </c>
      <c r="M51" s="25">
        <v>100000</v>
      </c>
      <c r="N51" s="38" t="s">
        <v>227</v>
      </c>
      <c r="O51" s="24" t="s">
        <v>53</v>
      </c>
      <c r="P51" s="24" t="s">
        <v>122</v>
      </c>
      <c r="R51">
        <f>1170000*1.06</f>
        <v>1240200</v>
      </c>
    </row>
    <row r="52" spans="1:25" x14ac:dyDescent="0.25">
      <c r="A52" s="33"/>
      <c r="B52" s="16"/>
      <c r="C52" s="1" t="s">
        <v>243</v>
      </c>
      <c r="D52" s="33"/>
      <c r="E52" s="2"/>
      <c r="F52" s="25">
        <f>+G52</f>
        <v>478824</v>
      </c>
      <c r="G52" s="25">
        <v>478824</v>
      </c>
      <c r="H52" s="25">
        <v>0</v>
      </c>
      <c r="I52" s="25"/>
      <c r="J52" s="25"/>
      <c r="K52" s="25"/>
      <c r="L52" s="25"/>
      <c r="M52" s="25"/>
      <c r="N52" s="38"/>
      <c r="O52" s="24"/>
      <c r="P52" s="24"/>
    </row>
    <row r="53" spans="1:25" x14ac:dyDescent="0.25">
      <c r="A53" s="57"/>
      <c r="B53" s="58"/>
      <c r="C53" s="74"/>
      <c r="D53" s="57"/>
      <c r="E53" s="75"/>
      <c r="F53" s="76"/>
      <c r="G53" s="76"/>
      <c r="H53" s="76"/>
      <c r="I53" s="60"/>
      <c r="J53" s="60"/>
      <c r="K53" s="60"/>
      <c r="L53" s="60"/>
      <c r="M53" s="60"/>
      <c r="N53" s="61"/>
      <c r="O53" s="62"/>
      <c r="P53" s="62"/>
    </row>
    <row r="54" spans="1:25" ht="32.25" customHeight="1" x14ac:dyDescent="0.25">
      <c r="A54" s="54" t="s">
        <v>250</v>
      </c>
      <c r="G54" s="55">
        <f>+G57+BMVI!G6</f>
        <v>32928544.600641511</v>
      </c>
      <c r="I54" s="3">
        <v>2025</v>
      </c>
      <c r="J54" s="3">
        <v>2026</v>
      </c>
      <c r="K54" s="3">
        <v>2027</v>
      </c>
      <c r="L54" s="3">
        <v>2028</v>
      </c>
      <c r="M54" s="3">
        <v>2029</v>
      </c>
      <c r="N54" s="40"/>
      <c r="O54" s="3"/>
      <c r="P54" s="3"/>
      <c r="U54" s="55"/>
    </row>
    <row r="56" spans="1:25" ht="42.75" customHeight="1" x14ac:dyDescent="0.25">
      <c r="A56" s="30" t="s">
        <v>0</v>
      </c>
      <c r="B56" s="30" t="s">
        <v>1</v>
      </c>
      <c r="C56" s="35"/>
      <c r="D56" s="35" t="s">
        <v>285</v>
      </c>
      <c r="E56" s="35"/>
      <c r="F56" s="35" t="s">
        <v>3</v>
      </c>
      <c r="G56" s="35" t="s">
        <v>4</v>
      </c>
      <c r="H56" s="35" t="s">
        <v>5</v>
      </c>
      <c r="I56" s="35">
        <v>2025</v>
      </c>
      <c r="J56" s="43">
        <v>2026</v>
      </c>
      <c r="K56" s="43">
        <v>2027</v>
      </c>
      <c r="L56" s="43">
        <v>2028</v>
      </c>
      <c r="M56" s="43">
        <v>2029</v>
      </c>
      <c r="N56" s="44" t="s">
        <v>46</v>
      </c>
      <c r="O56" s="44" t="s">
        <v>61</v>
      </c>
      <c r="P56" s="44" t="s">
        <v>228</v>
      </c>
    </row>
    <row r="57" spans="1:25" ht="32.25" customHeight="1" x14ac:dyDescent="0.25">
      <c r="A57" s="31"/>
      <c r="B57" s="17"/>
      <c r="C57" s="17" t="s">
        <v>9</v>
      </c>
      <c r="D57" s="36"/>
      <c r="E57" s="17"/>
      <c r="F57" s="18">
        <f>+F58+F64+F66+F68</f>
        <v>25200232.52</v>
      </c>
      <c r="G57" s="18">
        <f>+G58+G64+G66+G68</f>
        <v>22809318.598000001</v>
      </c>
      <c r="H57" s="18">
        <f>+H58+H64+H66+H68</f>
        <v>2390913.9219999993</v>
      </c>
      <c r="I57" s="18" t="e">
        <f t="shared" ref="I57:M57" si="12">+I58+I64+I66</f>
        <v>#REF!</v>
      </c>
      <c r="J57" s="18" t="e">
        <f t="shared" si="12"/>
        <v>#REF!</v>
      </c>
      <c r="K57" s="18" t="e">
        <f t="shared" si="12"/>
        <v>#REF!</v>
      </c>
      <c r="L57" s="18" t="e">
        <f t="shared" si="12"/>
        <v>#REF!</v>
      </c>
      <c r="M57" s="18" t="e">
        <f t="shared" si="12"/>
        <v>#REF!</v>
      </c>
      <c r="N57" s="41"/>
      <c r="O57" s="19"/>
      <c r="P57" s="19"/>
      <c r="R57" s="55">
        <v>22809315</v>
      </c>
      <c r="T57" s="55">
        <f>+G57-R57</f>
        <v>3.5980000011622906</v>
      </c>
    </row>
    <row r="58" spans="1:25" ht="31.5" customHeight="1" x14ac:dyDescent="0.25">
      <c r="A58" s="32" t="s">
        <v>6</v>
      </c>
      <c r="B58" s="20"/>
      <c r="C58" s="77" t="s">
        <v>256</v>
      </c>
      <c r="D58" s="37"/>
      <c r="E58" s="20"/>
      <c r="F58" s="21">
        <f>+F59+F60+F61+F62+F63</f>
        <v>2950000</v>
      </c>
      <c r="G58" s="21">
        <f t="shared" ref="G58:H58" si="13">+G59+G60+G61+G62+G63</f>
        <v>2655000</v>
      </c>
      <c r="H58" s="21">
        <f t="shared" si="13"/>
        <v>295000</v>
      </c>
      <c r="I58" s="21" t="e">
        <f>+I59+I60+#REF!+I70+I71+I72+I73+I74+I75</f>
        <v>#REF!</v>
      </c>
      <c r="J58" s="21" t="e">
        <f>+J59+J60+#REF!+J70+J71+J72+J73+J74+J75</f>
        <v>#REF!</v>
      </c>
      <c r="K58" s="21" t="e">
        <f>+K59+K60+#REF!+K70+K71+K72+K73+K74+K75</f>
        <v>#REF!</v>
      </c>
      <c r="L58" s="21" t="e">
        <f>+L59+L60+#REF!+L70+L71+L72+L73+L74+L75</f>
        <v>#REF!</v>
      </c>
      <c r="M58" s="21" t="e">
        <f>+M59+M60+#REF!+M70+M71+M72+M73+M74+M75</f>
        <v>#REF!</v>
      </c>
      <c r="N58" s="42"/>
      <c r="O58" s="22"/>
      <c r="P58" s="22"/>
      <c r="R58" s="55">
        <f>+R57/1.06</f>
        <v>21518221.698113207</v>
      </c>
    </row>
    <row r="59" spans="1:25" ht="267.75" x14ac:dyDescent="0.25">
      <c r="A59" s="33">
        <v>1</v>
      </c>
      <c r="B59" s="16"/>
      <c r="C59" s="1" t="s">
        <v>20</v>
      </c>
      <c r="D59" s="33">
        <v>1</v>
      </c>
      <c r="E59" s="1" t="s">
        <v>303</v>
      </c>
      <c r="F59" s="25">
        <f t="shared" ref="F59:F62" si="14">+I59+J59+K59</f>
        <v>2000000</v>
      </c>
      <c r="G59" s="25">
        <f>0.9*F59</f>
        <v>1800000</v>
      </c>
      <c r="H59" s="25">
        <f>+F59-G59</f>
        <v>200000</v>
      </c>
      <c r="I59" s="25">
        <v>50000</v>
      </c>
      <c r="J59" s="25">
        <v>1950000</v>
      </c>
      <c r="K59" s="25"/>
      <c r="L59" s="25"/>
      <c r="M59" s="25"/>
      <c r="N59" s="38" t="s">
        <v>227</v>
      </c>
      <c r="O59" s="24" t="s">
        <v>53</v>
      </c>
      <c r="P59" s="24" t="s">
        <v>123</v>
      </c>
      <c r="R59" s="55">
        <f>+R57-R58</f>
        <v>1291093.3018867932</v>
      </c>
    </row>
    <row r="60" spans="1:25" ht="25.5" x14ac:dyDescent="0.25">
      <c r="A60" s="33">
        <v>2</v>
      </c>
      <c r="B60" s="16"/>
      <c r="C60" s="2" t="s">
        <v>21</v>
      </c>
      <c r="D60" s="33">
        <v>1</v>
      </c>
      <c r="E60" s="4" t="s">
        <v>30</v>
      </c>
      <c r="F60" s="25">
        <f t="shared" si="14"/>
        <v>100000</v>
      </c>
      <c r="G60" s="25">
        <f t="shared" ref="G60:G63" si="15">0.9*F60</f>
        <v>90000</v>
      </c>
      <c r="H60" s="25">
        <f t="shared" ref="H60:H63" si="16">+F60-G60</f>
        <v>10000</v>
      </c>
      <c r="I60" s="25"/>
      <c r="J60" s="25">
        <v>100000</v>
      </c>
      <c r="K60" s="25"/>
      <c r="L60" s="25"/>
      <c r="M60" s="25"/>
      <c r="N60" s="38" t="s">
        <v>227</v>
      </c>
      <c r="O60" s="24" t="s">
        <v>59</v>
      </c>
      <c r="P60" s="24" t="s">
        <v>124</v>
      </c>
    </row>
    <row r="61" spans="1:25" ht="150" x14ac:dyDescent="0.25">
      <c r="A61" s="33">
        <v>3</v>
      </c>
      <c r="B61" s="16"/>
      <c r="C61" s="1" t="s">
        <v>22</v>
      </c>
      <c r="D61" s="33">
        <v>1</v>
      </c>
      <c r="E61" s="26" t="s">
        <v>31</v>
      </c>
      <c r="F61" s="25">
        <f t="shared" si="14"/>
        <v>200000</v>
      </c>
      <c r="G61" s="25">
        <f t="shared" si="15"/>
        <v>180000</v>
      </c>
      <c r="H61" s="25">
        <f t="shared" si="16"/>
        <v>20000</v>
      </c>
      <c r="I61" s="25">
        <v>100000</v>
      </c>
      <c r="J61" s="25">
        <v>100000</v>
      </c>
      <c r="K61" s="25"/>
      <c r="L61" s="25"/>
      <c r="M61" s="25"/>
      <c r="N61" s="38" t="s">
        <v>227</v>
      </c>
      <c r="O61" s="24" t="s">
        <v>59</v>
      </c>
      <c r="P61" s="24" t="s">
        <v>123</v>
      </c>
      <c r="R61">
        <f>1800000*1.06</f>
        <v>1908000</v>
      </c>
    </row>
    <row r="62" spans="1:25" ht="45" x14ac:dyDescent="0.25">
      <c r="A62" s="33">
        <v>4</v>
      </c>
      <c r="B62" s="16"/>
      <c r="C62" s="1" t="s">
        <v>23</v>
      </c>
      <c r="D62" s="33">
        <v>1</v>
      </c>
      <c r="E62" s="5" t="s">
        <v>32</v>
      </c>
      <c r="F62" s="25">
        <f t="shared" si="14"/>
        <v>200000</v>
      </c>
      <c r="G62" s="25">
        <f t="shared" si="15"/>
        <v>180000</v>
      </c>
      <c r="H62" s="25">
        <f t="shared" si="16"/>
        <v>20000</v>
      </c>
      <c r="I62" s="25">
        <v>100000</v>
      </c>
      <c r="J62" s="25">
        <v>100000</v>
      </c>
      <c r="K62" s="25"/>
      <c r="L62" s="25"/>
      <c r="M62" s="25"/>
      <c r="N62" s="38" t="s">
        <v>227</v>
      </c>
      <c r="O62" s="24" t="s">
        <v>59</v>
      </c>
      <c r="P62" s="24" t="s">
        <v>123</v>
      </c>
      <c r="R62">
        <f>855000*1.06</f>
        <v>906300</v>
      </c>
    </row>
    <row r="63" spans="1:25" ht="25.5" x14ac:dyDescent="0.25">
      <c r="A63" s="33">
        <v>9</v>
      </c>
      <c r="B63" s="16"/>
      <c r="C63" s="1" t="s">
        <v>28</v>
      </c>
      <c r="D63" s="33">
        <v>1</v>
      </c>
      <c r="E63" s="2" t="s">
        <v>29</v>
      </c>
      <c r="F63" s="25">
        <f>+I63+J63+K63</f>
        <v>450000</v>
      </c>
      <c r="G63" s="25">
        <f t="shared" si="15"/>
        <v>405000</v>
      </c>
      <c r="H63" s="25">
        <f t="shared" si="16"/>
        <v>45000</v>
      </c>
      <c r="I63" s="25">
        <v>150000</v>
      </c>
      <c r="J63" s="25">
        <v>150000</v>
      </c>
      <c r="K63" s="25">
        <v>150000</v>
      </c>
      <c r="L63" s="25"/>
      <c r="M63" s="25"/>
      <c r="N63" s="38" t="s">
        <v>227</v>
      </c>
      <c r="O63" s="24" t="s">
        <v>59</v>
      </c>
      <c r="P63" s="24" t="s">
        <v>125</v>
      </c>
    </row>
    <row r="64" spans="1:25" x14ac:dyDescent="0.25">
      <c r="A64" s="49" t="s">
        <v>233</v>
      </c>
      <c r="B64" s="50"/>
      <c r="C64" s="51"/>
      <c r="D64" s="50"/>
      <c r="E64" s="50"/>
      <c r="F64" s="52">
        <f t="shared" ref="F64:M64" si="17">+F65+F70+F71+F72+F73+F74+F75+F76+F77+F78+F79</f>
        <v>3946173</v>
      </c>
      <c r="G64" s="52">
        <f>+G65</f>
        <v>3551555.7</v>
      </c>
      <c r="H64" s="52">
        <f t="shared" si="17"/>
        <v>394617.29999999981</v>
      </c>
      <c r="I64" s="52">
        <f t="shared" si="17"/>
        <v>0</v>
      </c>
      <c r="J64" s="52">
        <f t="shared" si="17"/>
        <v>0</v>
      </c>
      <c r="K64" s="52">
        <f t="shared" si="17"/>
        <v>0</v>
      </c>
      <c r="L64" s="52">
        <f t="shared" si="17"/>
        <v>0</v>
      </c>
      <c r="M64" s="52">
        <f t="shared" si="17"/>
        <v>0</v>
      </c>
      <c r="N64" s="15"/>
      <c r="O64" s="15"/>
      <c r="P64" s="15"/>
    </row>
    <row r="65" spans="1:25" ht="102.75" x14ac:dyDescent="0.25">
      <c r="A65" s="48">
        <v>1</v>
      </c>
      <c r="B65" s="53"/>
      <c r="C65" s="48" t="s">
        <v>234</v>
      </c>
      <c r="D65" s="53">
        <v>1</v>
      </c>
      <c r="E65" s="46" t="s">
        <v>235</v>
      </c>
      <c r="F65" s="47">
        <v>3946173</v>
      </c>
      <c r="G65" s="47">
        <f>F65*0.9</f>
        <v>3551555.7</v>
      </c>
      <c r="H65" s="47">
        <f>F65-G65</f>
        <v>394617.29999999981</v>
      </c>
      <c r="I65" s="48"/>
      <c r="J65" s="48"/>
      <c r="K65" s="48"/>
      <c r="L65" s="48"/>
      <c r="M65" s="48"/>
      <c r="N65" s="38" t="s">
        <v>227</v>
      </c>
      <c r="O65" s="24" t="s">
        <v>54</v>
      </c>
      <c r="P65" s="24" t="s">
        <v>124</v>
      </c>
      <c r="R65" s="55">
        <f>+G65*1.06</f>
        <v>3764649.0420000004</v>
      </c>
    </row>
    <row r="66" spans="1:25" ht="29.25" customHeight="1" x14ac:dyDescent="0.25">
      <c r="A66" s="32" t="s">
        <v>7</v>
      </c>
      <c r="B66" s="20"/>
      <c r="C66" s="20"/>
      <c r="D66" s="37"/>
      <c r="E66" s="20"/>
      <c r="F66" s="21">
        <f>+F67</f>
        <v>17012966.219999999</v>
      </c>
      <c r="G66" s="21">
        <f>+G67</f>
        <v>15311669.597999999</v>
      </c>
      <c r="H66" s="21">
        <f>+H67</f>
        <v>1701296.6219999995</v>
      </c>
      <c r="I66" s="21" t="e">
        <f>+I67+#REF!</f>
        <v>#REF!</v>
      </c>
      <c r="J66" s="21" t="e">
        <f>+J67+#REF!</f>
        <v>#REF!</v>
      </c>
      <c r="K66" s="21" t="e">
        <f>+K67+#REF!</f>
        <v>#REF!</v>
      </c>
      <c r="L66" s="21" t="e">
        <f>+L67+#REF!</f>
        <v>#REF!</v>
      </c>
      <c r="M66" s="21" t="e">
        <f>+M67+#REF!</f>
        <v>#REF!</v>
      </c>
      <c r="N66" s="42"/>
      <c r="O66" s="22"/>
      <c r="P66" s="22"/>
    </row>
    <row r="67" spans="1:25" s="8" customFormat="1" ht="204" x14ac:dyDescent="0.25">
      <c r="A67" s="33">
        <v>2</v>
      </c>
      <c r="B67" s="16"/>
      <c r="C67" s="6" t="s">
        <v>284</v>
      </c>
      <c r="D67" s="33">
        <v>1</v>
      </c>
      <c r="E67" s="7" t="s">
        <v>237</v>
      </c>
      <c r="F67" s="25">
        <v>17012966.219999999</v>
      </c>
      <c r="G67" s="25">
        <f>0.9*F67</f>
        <v>15311669.597999999</v>
      </c>
      <c r="H67" s="25">
        <f t="shared" ref="H67" si="18">+F67-G67</f>
        <v>1701296.6219999995</v>
      </c>
      <c r="I67" s="25">
        <v>150000</v>
      </c>
      <c r="J67" s="25">
        <v>3394800</v>
      </c>
      <c r="K67" s="25">
        <v>3394800</v>
      </c>
      <c r="L67" s="25">
        <v>3394800</v>
      </c>
      <c r="M67" s="25">
        <v>3394800</v>
      </c>
      <c r="N67" s="38" t="s">
        <v>227</v>
      </c>
      <c r="O67" s="24" t="s">
        <v>53</v>
      </c>
      <c r="P67" s="24" t="s">
        <v>122</v>
      </c>
      <c r="R67" s="56">
        <f>+G67*1.06</f>
        <v>16230369.773879999</v>
      </c>
      <c r="W67" s="56"/>
      <c r="Y67" s="56"/>
    </row>
    <row r="68" spans="1:25" x14ac:dyDescent="0.25">
      <c r="A68" s="79"/>
      <c r="B68" s="80"/>
      <c r="C68" s="80" t="s">
        <v>243</v>
      </c>
      <c r="D68" s="81"/>
      <c r="E68" s="80"/>
      <c r="F68" s="83">
        <f>+G68</f>
        <v>1291093.3</v>
      </c>
      <c r="G68" s="83">
        <v>1291093.3</v>
      </c>
      <c r="H68" s="83">
        <v>0</v>
      </c>
      <c r="I68" s="80"/>
      <c r="J68" s="80"/>
      <c r="K68" s="80"/>
      <c r="L68" s="80"/>
      <c r="M68" s="80"/>
      <c r="N68" s="82"/>
      <c r="O68" s="80"/>
      <c r="P68" s="80"/>
      <c r="R68">
        <v>1908000</v>
      </c>
    </row>
    <row r="69" spans="1:25" x14ac:dyDescent="0.25">
      <c r="R69" s="55">
        <f>+R67+R68</f>
        <v>18138369.773879997</v>
      </c>
    </row>
    <row r="71" spans="1:25" x14ac:dyDescent="0.25">
      <c r="G71" s="55"/>
    </row>
  </sheetData>
  <autoFilter ref="A4:P67"/>
  <dataConsolidate/>
  <phoneticPr fontId="16" type="noConversion"/>
  <pageMargins left="0.70866141732283461" right="0.70866141732283461" top="0.74803149606299213" bottom="0.74803149606299213" header="0.31496062992125984" footer="0.31496062992125984"/>
  <pageSetup paperSize="9" scale="51"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'C:\Users\kern\AppData\Local\Temp\notes1BBE42\[~7805733.xlsx]List2'!#REF!</xm:f>
          </x14:formula1>
          <xm:sqref>N64:P64</xm:sqref>
        </x14:dataValidation>
        <x14:dataValidation type="list" allowBlank="1" showInputMessage="1" showErrorMessage="1">
          <x14:formula1>
            <xm:f>List2!$H$3:$H$61</xm:f>
          </x14:formula1>
          <xm:sqref>P65 P59:P63 P67 P44:P45 P47:P53 P7:P10 P12:P37</xm:sqref>
        </x14:dataValidation>
        <x14:dataValidation type="list" allowBlank="1" showInputMessage="1" showErrorMessage="1">
          <x14:formula1>
            <xm:f>List2!$D$2:$D$12</xm:f>
          </x14:formula1>
          <xm:sqref>O65 O59:O63 O67 O44:O45 O47:O53 O7:O10 O12:O37</xm:sqref>
        </x14:dataValidation>
        <x14:dataValidation type="list" allowBlank="1" showInputMessage="1" showErrorMessage="1">
          <x14:formula1>
            <xm:f>List2!$A$2:$A$6</xm:f>
          </x14:formula1>
          <xm:sqref>N65 N59:N63 N67 N44:N45 N47:N53 N7:N10 N12:N37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4"/>
  <sheetViews>
    <sheetView topLeftCell="A10" workbookViewId="0">
      <selection activeCell="C7" sqref="C7"/>
    </sheetView>
  </sheetViews>
  <sheetFormatPr defaultRowHeight="15" x14ac:dyDescent="0.25"/>
  <cols>
    <col min="1" max="1" width="9.140625" style="34"/>
    <col min="2" max="2" width="14.7109375" hidden="1" customWidth="1"/>
    <col min="3" max="3" width="35.5703125" customWidth="1"/>
    <col min="4" max="4" width="13.5703125" style="29" customWidth="1"/>
    <col min="5" max="5" width="58.85546875" customWidth="1"/>
    <col min="6" max="6" width="12.28515625" bestFit="1" customWidth="1"/>
    <col min="7" max="7" width="16.140625" bestFit="1" customWidth="1"/>
    <col min="8" max="8" width="12.28515625" customWidth="1"/>
    <col min="9" max="9" width="11.7109375" hidden="1" customWidth="1"/>
    <col min="10" max="13" width="12.28515625" hidden="1" customWidth="1"/>
    <col min="14" max="14" width="13.7109375" style="39" customWidth="1"/>
    <col min="15" max="15" width="15" customWidth="1"/>
    <col min="16" max="16" width="53.85546875" customWidth="1"/>
    <col min="18" max="18" width="11.7109375" bestFit="1" customWidth="1"/>
    <col min="21" max="21" width="13.85546875" bestFit="1" customWidth="1"/>
    <col min="23" max="23" width="13.85546875" style="55" hidden="1" customWidth="1"/>
    <col min="24" max="24" width="12.7109375" hidden="1" customWidth="1"/>
    <col min="25" max="25" width="13.85546875" style="55" hidden="1" customWidth="1"/>
    <col min="26" max="26" width="0" hidden="1" customWidth="1"/>
    <col min="27" max="27" width="12.7109375" bestFit="1" customWidth="1"/>
  </cols>
  <sheetData>
    <row r="1" spans="1:25" ht="32.25" customHeight="1" x14ac:dyDescent="0.25">
      <c r="A1" s="54" t="s">
        <v>305</v>
      </c>
    </row>
    <row r="2" spans="1:25" ht="32.25" customHeight="1" x14ac:dyDescent="0.25">
      <c r="A2" s="54" t="s">
        <v>244</v>
      </c>
      <c r="I2" s="3">
        <v>2025</v>
      </c>
      <c r="J2" s="3">
        <v>2026</v>
      </c>
      <c r="K2" s="3">
        <v>2027</v>
      </c>
      <c r="L2" s="3">
        <v>2028</v>
      </c>
      <c r="M2" s="3">
        <v>2029</v>
      </c>
      <c r="N2" s="40"/>
      <c r="O2" s="3"/>
      <c r="P2" s="3"/>
      <c r="U2" s="55"/>
    </row>
    <row r="4" spans="1:25" ht="42.75" customHeight="1" x14ac:dyDescent="0.25">
      <c r="A4" s="30" t="s">
        <v>0</v>
      </c>
      <c r="B4" s="30" t="s">
        <v>1</v>
      </c>
      <c r="C4" s="35"/>
      <c r="D4" s="35" t="s">
        <v>2</v>
      </c>
      <c r="E4" s="35"/>
      <c r="F4" s="35" t="s">
        <v>3</v>
      </c>
      <c r="G4" s="35" t="s">
        <v>4</v>
      </c>
      <c r="H4" s="35" t="s">
        <v>5</v>
      </c>
      <c r="I4" s="35">
        <v>2025</v>
      </c>
      <c r="J4" s="43">
        <v>2026</v>
      </c>
      <c r="K4" s="43">
        <v>2027</v>
      </c>
      <c r="L4" s="43">
        <v>2028</v>
      </c>
      <c r="M4" s="43">
        <v>2029</v>
      </c>
      <c r="N4" s="44" t="s">
        <v>46</v>
      </c>
      <c r="O4" s="44" t="s">
        <v>61</v>
      </c>
      <c r="P4" s="44" t="s">
        <v>228</v>
      </c>
    </row>
    <row r="5" spans="1:25" ht="32.25" customHeight="1" x14ac:dyDescent="0.25">
      <c r="A5" s="31"/>
      <c r="B5" s="17"/>
      <c r="C5" s="17" t="s">
        <v>248</v>
      </c>
      <c r="D5" s="36"/>
      <c r="E5" s="17"/>
      <c r="F5" s="18">
        <f>+F6+F21</f>
        <v>39070534.426268347</v>
      </c>
      <c r="G5" s="18">
        <f t="shared" ref="G5:M5" si="0">+G6+G21</f>
        <v>35774818.91264151</v>
      </c>
      <c r="H5" s="18">
        <f t="shared" si="0"/>
        <v>3295715.5136268344</v>
      </c>
      <c r="I5" s="18" t="e">
        <f t="shared" si="0"/>
        <v>#REF!</v>
      </c>
      <c r="J5" s="18" t="e">
        <f t="shared" si="0"/>
        <v>#REF!</v>
      </c>
      <c r="K5" s="18" t="e">
        <f t="shared" si="0"/>
        <v>#REF!</v>
      </c>
      <c r="L5" s="18" t="e">
        <f t="shared" si="0"/>
        <v>#REF!</v>
      </c>
      <c r="M5" s="18" t="e">
        <f t="shared" si="0"/>
        <v>#REF!</v>
      </c>
      <c r="N5" s="41"/>
      <c r="O5" s="19"/>
      <c r="P5" s="19"/>
    </row>
    <row r="6" spans="1:25" ht="31.5" customHeight="1" x14ac:dyDescent="0.25">
      <c r="A6" s="32" t="s">
        <v>8</v>
      </c>
      <c r="B6" s="20"/>
      <c r="C6" s="20"/>
      <c r="D6" s="37"/>
      <c r="E6" s="20"/>
      <c r="F6" s="21">
        <f>+F7+F8+F9</f>
        <v>11179941.516268345</v>
      </c>
      <c r="G6" s="21">
        <f>+G7+G8+G9</f>
        <v>10119226.00264151</v>
      </c>
      <c r="H6" s="21">
        <f>+H7+H8</f>
        <v>1060715.5136268344</v>
      </c>
      <c r="I6" s="21" t="e">
        <f>+I7+#REF!+#REF!+#REF!+#REF!+I16+I17+I18+I8+I20+I19</f>
        <v>#REF!</v>
      </c>
      <c r="J6" s="21" t="e">
        <f>+J7+#REF!+#REF!+#REF!+#REF!+J16+J17+J18+J8+J20+J19</f>
        <v>#REF!</v>
      </c>
      <c r="K6" s="21" t="e">
        <f>+K7+#REF!+#REF!+#REF!+#REF!+K16+K17+K18+K8+K20+K19</f>
        <v>#REF!</v>
      </c>
      <c r="L6" s="21" t="e">
        <f>+L7+#REF!+#REF!+#REF!+#REF!+L16+L17+L18+L8+L20+L19</f>
        <v>#REF!</v>
      </c>
      <c r="M6" s="21" t="e">
        <f>+M7+#REF!+#REF!+#REF!+#REF!+M16+M17+M18+M8+M20+M19</f>
        <v>#REF!</v>
      </c>
      <c r="N6" s="42"/>
      <c r="O6" s="22"/>
      <c r="P6" s="22"/>
      <c r="R6" s="55"/>
    </row>
    <row r="7" spans="1:25" ht="357" x14ac:dyDescent="0.25">
      <c r="A7" s="33">
        <v>1</v>
      </c>
      <c r="B7" s="16"/>
      <c r="C7" s="45" t="s">
        <v>10</v>
      </c>
      <c r="D7" s="33" t="s">
        <v>230</v>
      </c>
      <c r="E7" s="45" t="s">
        <v>249</v>
      </c>
      <c r="F7" s="25">
        <f>+G7+H7</f>
        <v>6247155.1362683438</v>
      </c>
      <c r="G7" s="25">
        <v>5622439.6226415094</v>
      </c>
      <c r="H7" s="25">
        <f>+G7/9</f>
        <v>624715.51362683438</v>
      </c>
      <c r="I7" s="23"/>
      <c r="J7" s="23">
        <v>2000000</v>
      </c>
      <c r="K7" s="23">
        <v>1000000</v>
      </c>
      <c r="L7" s="23">
        <v>1000000</v>
      </c>
      <c r="M7" s="23">
        <v>1000000</v>
      </c>
      <c r="N7" s="38" t="s">
        <v>49</v>
      </c>
      <c r="O7" s="24" t="s">
        <v>51</v>
      </c>
      <c r="P7" s="24" t="s">
        <v>216</v>
      </c>
      <c r="R7" s="55"/>
    </row>
    <row r="8" spans="1:25" ht="38.25" x14ac:dyDescent="0.25">
      <c r="A8" s="33">
        <v>5</v>
      </c>
      <c r="B8" s="16"/>
      <c r="C8" s="7" t="s">
        <v>16</v>
      </c>
      <c r="D8" s="33" t="s">
        <v>229</v>
      </c>
      <c r="E8" s="7" t="s">
        <v>15</v>
      </c>
      <c r="F8" s="25">
        <v>4360000</v>
      </c>
      <c r="G8" s="25">
        <f>0.9*F8</f>
        <v>3924000</v>
      </c>
      <c r="H8" s="25">
        <f>+F8-G8</f>
        <v>436000</v>
      </c>
      <c r="I8" s="25"/>
      <c r="J8" s="25">
        <v>4360000</v>
      </c>
      <c r="K8" s="25"/>
      <c r="L8" s="25"/>
      <c r="M8" s="25"/>
      <c r="N8" s="38" t="s">
        <v>49</v>
      </c>
      <c r="O8" s="24" t="s">
        <v>52</v>
      </c>
      <c r="P8" s="24" t="s">
        <v>205</v>
      </c>
      <c r="R8" s="55"/>
    </row>
    <row r="9" spans="1:25" x14ac:dyDescent="0.25">
      <c r="A9" s="33"/>
      <c r="B9" s="16"/>
      <c r="C9" s="7" t="s">
        <v>243</v>
      </c>
      <c r="D9" s="33"/>
      <c r="E9" s="7"/>
      <c r="F9" s="25">
        <f>+G9</f>
        <v>572786.38</v>
      </c>
      <c r="G9" s="25">
        <v>572786.38</v>
      </c>
      <c r="H9" s="25"/>
      <c r="I9" s="25"/>
      <c r="J9" s="25"/>
      <c r="K9" s="25"/>
      <c r="L9" s="25"/>
      <c r="M9" s="25"/>
      <c r="N9" s="38"/>
      <c r="O9" s="24"/>
      <c r="P9" s="24"/>
      <c r="R9" s="55"/>
      <c r="W9" s="55">
        <f>+G7*1.06</f>
        <v>5959786</v>
      </c>
      <c r="Y9" s="55">
        <f>+W9-G7</f>
        <v>337346.3773584906</v>
      </c>
    </row>
    <row r="10" spans="1:25" ht="30" customHeight="1" x14ac:dyDescent="0.25">
      <c r="A10" s="68"/>
      <c r="B10" s="69"/>
      <c r="C10" s="70" t="s">
        <v>246</v>
      </c>
      <c r="D10" s="71"/>
      <c r="E10" s="70"/>
      <c r="F10" s="72">
        <f>+F7+F8+F9</f>
        <v>11179941.516268345</v>
      </c>
      <c r="G10" s="72">
        <f>+G7+G8+G9</f>
        <v>10119226.00264151</v>
      </c>
      <c r="H10" s="72">
        <f>+H7+H8+H9</f>
        <v>1060715.5136268344</v>
      </c>
      <c r="I10" s="25"/>
      <c r="J10" s="25"/>
      <c r="K10" s="25"/>
      <c r="L10" s="25"/>
      <c r="M10" s="25"/>
      <c r="N10" s="38"/>
      <c r="O10" s="24"/>
      <c r="P10" s="24"/>
      <c r="R10" s="55"/>
      <c r="W10" s="55">
        <f>+G8*1.06</f>
        <v>4159440</v>
      </c>
      <c r="Y10" s="55">
        <f>+W10-G8</f>
        <v>235440</v>
      </c>
    </row>
    <row r="11" spans="1:25" s="63" customFormat="1" x14ac:dyDescent="0.25">
      <c r="A11" s="57"/>
      <c r="B11" s="58"/>
      <c r="C11" s="59"/>
      <c r="D11" s="57"/>
      <c r="E11" s="59"/>
      <c r="F11" s="60"/>
      <c r="G11" s="60"/>
      <c r="H11" s="60"/>
      <c r="I11" s="60"/>
      <c r="J11" s="60"/>
      <c r="K11" s="60"/>
      <c r="L11" s="60"/>
      <c r="M11" s="60"/>
      <c r="N11" s="61"/>
      <c r="O11" s="62"/>
      <c r="P11" s="62"/>
      <c r="R11" s="64"/>
      <c r="W11" s="64"/>
      <c r="Y11" s="64"/>
    </row>
    <row r="12" spans="1:25" s="63" customFormat="1" x14ac:dyDescent="0.25">
      <c r="A12" s="57"/>
      <c r="B12" s="58"/>
      <c r="C12" s="59"/>
      <c r="D12" s="57"/>
      <c r="E12" s="59"/>
      <c r="F12" s="60"/>
      <c r="G12" s="60"/>
      <c r="H12" s="60"/>
      <c r="I12" s="60"/>
      <c r="J12" s="60"/>
      <c r="K12" s="60"/>
      <c r="L12" s="60"/>
      <c r="M12" s="60"/>
      <c r="N12" s="61"/>
      <c r="O12" s="62"/>
      <c r="P12" s="62"/>
      <c r="R12" s="64"/>
      <c r="W12" s="64"/>
      <c r="Y12" s="64"/>
    </row>
    <row r="13" spans="1:25" s="63" customFormat="1" ht="18" x14ac:dyDescent="0.25">
      <c r="A13" s="65" t="s">
        <v>244</v>
      </c>
      <c r="B13" s="66"/>
      <c r="C13" s="67" t="s">
        <v>245</v>
      </c>
      <c r="D13" s="57"/>
      <c r="E13" s="59"/>
      <c r="F13" s="60"/>
      <c r="G13" s="60"/>
      <c r="H13" s="60"/>
      <c r="I13" s="60"/>
      <c r="J13" s="60"/>
      <c r="K13" s="60"/>
      <c r="L13" s="60"/>
      <c r="M13" s="60"/>
      <c r="N13" s="61"/>
      <c r="O13" s="62"/>
      <c r="P13" s="62"/>
      <c r="R13" s="64"/>
      <c r="W13" s="64"/>
      <c r="Y13" s="64"/>
    </row>
    <row r="14" spans="1:25" s="63" customFormat="1" x14ac:dyDescent="0.25">
      <c r="A14" s="57"/>
      <c r="B14" s="58"/>
      <c r="C14" s="59"/>
      <c r="D14" s="57"/>
      <c r="E14" s="59"/>
      <c r="F14" s="60"/>
      <c r="G14" s="60"/>
      <c r="H14" s="60"/>
      <c r="I14" s="60"/>
      <c r="J14" s="60"/>
      <c r="K14" s="60"/>
      <c r="L14" s="60"/>
      <c r="M14" s="60"/>
      <c r="N14" s="61"/>
      <c r="O14" s="62"/>
      <c r="P14" s="62"/>
      <c r="R14" s="64"/>
      <c r="W14" s="64"/>
      <c r="Y14" s="64"/>
    </row>
    <row r="15" spans="1:25" ht="36" x14ac:dyDescent="0.25">
      <c r="A15" s="30" t="s">
        <v>0</v>
      </c>
      <c r="B15" s="30" t="s">
        <v>1</v>
      </c>
      <c r="C15" s="35"/>
      <c r="D15" s="35" t="s">
        <v>2</v>
      </c>
      <c r="E15" s="35"/>
      <c r="F15" s="35" t="s">
        <v>3</v>
      </c>
      <c r="G15" s="35" t="s">
        <v>4</v>
      </c>
      <c r="H15" s="35" t="s">
        <v>5</v>
      </c>
      <c r="I15" s="35">
        <v>2025</v>
      </c>
      <c r="J15" s="43">
        <v>2026</v>
      </c>
      <c r="K15" s="43">
        <v>2027</v>
      </c>
      <c r="L15" s="43">
        <v>2028</v>
      </c>
      <c r="M15" s="43">
        <v>2029</v>
      </c>
      <c r="N15" s="44" t="s">
        <v>46</v>
      </c>
      <c r="O15" s="44" t="s">
        <v>61</v>
      </c>
      <c r="P15" s="44" t="s">
        <v>228</v>
      </c>
      <c r="R15" s="55"/>
    </row>
    <row r="16" spans="1:25" ht="24" x14ac:dyDescent="0.25">
      <c r="A16" s="33">
        <v>2</v>
      </c>
      <c r="B16" s="16"/>
      <c r="C16" s="16" t="s">
        <v>11</v>
      </c>
      <c r="D16" s="33" t="s">
        <v>229</v>
      </c>
      <c r="E16" s="25"/>
      <c r="F16" s="25">
        <f>+I16+J16+K16+L16+M16</f>
        <v>636000</v>
      </c>
      <c r="G16" s="25">
        <f>+F16</f>
        <v>636000</v>
      </c>
      <c r="H16" s="25">
        <f t="shared" ref="H16:H18" si="1">+F16-G16</f>
        <v>0</v>
      </c>
      <c r="I16" s="25">
        <v>60000</v>
      </c>
      <c r="J16" s="25">
        <v>144000</v>
      </c>
      <c r="K16" s="25">
        <v>144000</v>
      </c>
      <c r="L16" s="25">
        <v>144000</v>
      </c>
      <c r="M16" s="25">
        <v>144000</v>
      </c>
      <c r="N16" s="38" t="s">
        <v>49</v>
      </c>
      <c r="O16" s="24" t="s">
        <v>231</v>
      </c>
      <c r="P16" s="24" t="s">
        <v>223</v>
      </c>
    </row>
    <row r="17" spans="1:27" ht="63.75" x14ac:dyDescent="0.25">
      <c r="A17" s="33">
        <v>3</v>
      </c>
      <c r="B17" s="16"/>
      <c r="C17" s="7" t="s">
        <v>287</v>
      </c>
      <c r="D17" s="33" t="s">
        <v>232</v>
      </c>
      <c r="E17" s="7" t="s">
        <v>286</v>
      </c>
      <c r="F17" s="25">
        <f>17400000-3385407.09</f>
        <v>14014592.91</v>
      </c>
      <c r="G17" s="25">
        <f>+F17</f>
        <v>14014592.91</v>
      </c>
      <c r="H17" s="25">
        <f t="shared" si="1"/>
        <v>0</v>
      </c>
      <c r="I17" s="25">
        <v>1500000</v>
      </c>
      <c r="J17" s="25">
        <v>3900000</v>
      </c>
      <c r="K17" s="25">
        <v>3900000</v>
      </c>
      <c r="L17" s="25">
        <v>4000000</v>
      </c>
      <c r="M17" s="25">
        <v>4100000</v>
      </c>
      <c r="N17" s="38" t="s">
        <v>49</v>
      </c>
      <c r="O17" s="24" t="s">
        <v>231</v>
      </c>
      <c r="P17" s="24" t="s">
        <v>223</v>
      </c>
      <c r="U17" s="55"/>
      <c r="W17" s="55">
        <f>+F16+F17</f>
        <v>14650592.91</v>
      </c>
    </row>
    <row r="18" spans="1:27" ht="48" x14ac:dyDescent="0.25">
      <c r="A18" s="33">
        <v>4</v>
      </c>
      <c r="B18" s="16"/>
      <c r="C18" s="7" t="s">
        <v>12</v>
      </c>
      <c r="D18" s="33" t="s">
        <v>13</v>
      </c>
      <c r="E18" s="25" t="s">
        <v>14</v>
      </c>
      <c r="F18" s="25">
        <v>200000</v>
      </c>
      <c r="G18" s="25">
        <f>+F18</f>
        <v>200000</v>
      </c>
      <c r="H18" s="25">
        <f t="shared" si="1"/>
        <v>0</v>
      </c>
      <c r="I18" s="25"/>
      <c r="J18" s="25">
        <v>200000</v>
      </c>
      <c r="K18" s="25"/>
      <c r="L18" s="25"/>
      <c r="M18" s="25"/>
      <c r="N18" s="38" t="s">
        <v>49</v>
      </c>
      <c r="O18" s="24" t="s">
        <v>51</v>
      </c>
      <c r="P18" s="24" t="s">
        <v>223</v>
      </c>
    </row>
    <row r="19" spans="1:27" ht="127.5" x14ac:dyDescent="0.25">
      <c r="A19" s="33">
        <v>7</v>
      </c>
      <c r="B19" s="16"/>
      <c r="C19" s="6" t="s">
        <v>41</v>
      </c>
      <c r="D19" s="33" t="s">
        <v>18</v>
      </c>
      <c r="E19" s="6" t="s">
        <v>42</v>
      </c>
      <c r="F19" s="25">
        <v>4100000</v>
      </c>
      <c r="G19" s="25">
        <f>+F19</f>
        <v>4100000</v>
      </c>
      <c r="H19" s="25">
        <f>+F19-G19</f>
        <v>0</v>
      </c>
      <c r="I19" s="25"/>
      <c r="J19" s="25">
        <v>500000</v>
      </c>
      <c r="K19" s="25">
        <v>1200000</v>
      </c>
      <c r="L19" s="25">
        <v>1200000</v>
      </c>
      <c r="M19" s="25">
        <v>1200000</v>
      </c>
      <c r="N19" s="38" t="s">
        <v>49</v>
      </c>
      <c r="O19" s="24" t="s">
        <v>59</v>
      </c>
      <c r="P19" s="24" t="s">
        <v>223</v>
      </c>
      <c r="X19" s="55"/>
      <c r="AA19" s="55"/>
    </row>
    <row r="20" spans="1:27" ht="89.25" x14ac:dyDescent="0.25">
      <c r="A20" s="33">
        <v>6</v>
      </c>
      <c r="B20" s="16"/>
      <c r="C20" s="6" t="s">
        <v>17</v>
      </c>
      <c r="D20" s="33" t="s">
        <v>18</v>
      </c>
      <c r="E20" s="6" t="s">
        <v>19</v>
      </c>
      <c r="F20" s="25">
        <v>8940000</v>
      </c>
      <c r="G20" s="25">
        <f>0.75*F20</f>
        <v>6705000</v>
      </c>
      <c r="H20" s="25">
        <f>+F20-G20</f>
        <v>2235000</v>
      </c>
      <c r="I20" s="25">
        <v>40000</v>
      </c>
      <c r="J20" s="25">
        <v>300000</v>
      </c>
      <c r="K20" s="25">
        <v>1500000</v>
      </c>
      <c r="L20" s="25">
        <v>4500000</v>
      </c>
      <c r="M20" s="25">
        <v>2600000</v>
      </c>
      <c r="N20" s="38" t="s">
        <v>49</v>
      </c>
      <c r="O20" s="24" t="s">
        <v>59</v>
      </c>
      <c r="P20" s="24" t="s">
        <v>210</v>
      </c>
    </row>
    <row r="21" spans="1:27" ht="25.5" x14ac:dyDescent="0.25">
      <c r="A21" s="68"/>
      <c r="B21" s="69"/>
      <c r="C21" s="70" t="s">
        <v>247</v>
      </c>
      <c r="D21" s="71"/>
      <c r="E21" s="70"/>
      <c r="F21" s="72">
        <f>+F16+F17+F18+F19+F20</f>
        <v>27890592.91</v>
      </c>
      <c r="G21" s="72">
        <f>+G16+G17+G18+G19+G20</f>
        <v>25655592.91</v>
      </c>
      <c r="H21" s="72">
        <f t="shared" ref="H21:M21" si="2">+H16+H17+H18+H19+H20</f>
        <v>2235000</v>
      </c>
      <c r="I21" s="72">
        <f t="shared" si="2"/>
        <v>1600000</v>
      </c>
      <c r="J21" s="72">
        <f t="shared" si="2"/>
        <v>5044000</v>
      </c>
      <c r="K21" s="72">
        <f t="shared" si="2"/>
        <v>6744000</v>
      </c>
      <c r="L21" s="72">
        <f t="shared" si="2"/>
        <v>9844000</v>
      </c>
      <c r="M21" s="72">
        <f t="shared" si="2"/>
        <v>8044000</v>
      </c>
      <c r="N21" s="38"/>
      <c r="O21" s="24"/>
      <c r="P21" s="24"/>
    </row>
    <row r="22" spans="1:27" x14ac:dyDescent="0.25">
      <c r="A22" s="33"/>
      <c r="B22" s="16"/>
      <c r="C22" s="6"/>
      <c r="D22" s="33"/>
      <c r="E22" s="6"/>
      <c r="F22" s="25"/>
      <c r="G22" s="25"/>
      <c r="H22" s="25"/>
      <c r="I22" s="25"/>
      <c r="J22" s="25"/>
      <c r="K22" s="25"/>
      <c r="L22" s="25"/>
      <c r="M22" s="25"/>
      <c r="N22" s="38"/>
      <c r="O22" s="24"/>
      <c r="P22" s="24"/>
    </row>
    <row r="23" spans="1:27" hidden="1" x14ac:dyDescent="0.25"/>
    <row r="24" spans="1:27" hidden="1" x14ac:dyDescent="0.25">
      <c r="C24" s="113">
        <v>32928544.600000001</v>
      </c>
      <c r="G24" s="55"/>
    </row>
    <row r="25" spans="1:27" hidden="1" x14ac:dyDescent="0.25">
      <c r="C25" s="113">
        <v>61811062.93</v>
      </c>
    </row>
    <row r="26" spans="1:27" hidden="1" x14ac:dyDescent="0.25">
      <c r="C26" s="113">
        <v>8459224</v>
      </c>
    </row>
    <row r="27" spans="1:27" hidden="1" x14ac:dyDescent="0.25">
      <c r="C27" s="113">
        <v>17415941.149999999</v>
      </c>
    </row>
    <row r="28" spans="1:27" hidden="1" x14ac:dyDescent="0.25"/>
    <row r="29" spans="1:27" hidden="1" x14ac:dyDescent="0.25">
      <c r="C29" s="113">
        <f>+C24+C25+C26+C27</f>
        <v>120614772.68000001</v>
      </c>
    </row>
    <row r="30" spans="1:27" hidden="1" x14ac:dyDescent="0.25"/>
    <row r="31" spans="1:27" hidden="1" x14ac:dyDescent="0.25">
      <c r="C31" s="55">
        <v>122526554.53</v>
      </c>
    </row>
    <row r="32" spans="1:27" hidden="1" x14ac:dyDescent="0.25">
      <c r="C32" s="55">
        <f>+C31-C29</f>
        <v>1911781.849999994</v>
      </c>
    </row>
    <row r="33" spans="3:3" hidden="1" x14ac:dyDescent="0.25"/>
    <row r="34" spans="3:3" hidden="1" x14ac:dyDescent="0.25">
      <c r="C34" s="55">
        <f>38922303.43-C32</f>
        <v>37010521.580000006</v>
      </c>
    </row>
  </sheetData>
  <autoFilter ref="A4:P22"/>
  <dataConsolidate/>
  <pageMargins left="0.70866141732283461" right="0.70866141732283461" top="0.74803149606299213" bottom="0.74803149606299213" header="0.31496062992125984" footer="0.31496062992125984"/>
  <pageSetup paperSize="9" scale="51"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List2!$A$3:$A$6</xm:f>
          </x14:formula1>
          <xm:sqref>N7</xm:sqref>
        </x14:dataValidation>
        <x14:dataValidation type="list" allowBlank="1" showInputMessage="1" showErrorMessage="1">
          <x14:formula1>
            <xm:f>List2!$D$3:$D$12</xm:f>
          </x14:formula1>
          <xm:sqref>O7</xm:sqref>
        </x14:dataValidation>
        <x14:dataValidation type="list" allowBlank="1" showInputMessage="1" showErrorMessage="1">
          <x14:formula1>
            <xm:f>List2!$H$4:$H$61</xm:f>
          </x14:formula1>
          <xm:sqref>P7</xm:sqref>
        </x14:dataValidation>
        <x14:dataValidation type="list" allowBlank="1" showInputMessage="1" showErrorMessage="1">
          <x14:formula1>
            <xm:f>List2!$A$2:$A$6</xm:f>
          </x14:formula1>
          <xm:sqref>N8:N14 N17:N22</xm:sqref>
        </x14:dataValidation>
        <x14:dataValidation type="list" allowBlank="1" showInputMessage="1" showErrorMessage="1">
          <x14:formula1>
            <xm:f>List2!$D$2:$D$12</xm:f>
          </x14:formula1>
          <xm:sqref>O8:O14 O18:O22</xm:sqref>
        </x14:dataValidation>
        <x14:dataValidation type="list" allowBlank="1" showInputMessage="1" showErrorMessage="1">
          <x14:formula1>
            <xm:f>List2!$H$3:$H$61</xm:f>
          </x14:formula1>
          <xm:sqref>P8:P14 P16:P22</xm:sqref>
        </x14:dataValidation>
        <x14:dataValidation type="list" allowBlank="1" showInputMessage="1" showErrorMessage="1">
          <x14:formula1>
            <xm:f>'C:\Users\tpecjak\AppData\Local\Temp\notes3F9412\[Pakt o migracijah - predlogi operacij - določitev sklada, BB in intervencije SMP UUP odg 19.3.2025.xlsx]List2'!#REF!</xm:f>
          </x14:formula1>
          <xm:sqref>N16</xm:sqref>
        </x14:dataValidation>
        <x14:dataValidation type="list" allowBlank="1" showInputMessage="1" showErrorMessage="1">
          <x14:formula1>
            <xm:f>List2!$D$2:$D$13</xm:f>
          </x14:formula1>
          <xm:sqref>O16:O17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abSelected="1" workbookViewId="0">
      <selection activeCell="C8" sqref="C8"/>
    </sheetView>
  </sheetViews>
  <sheetFormatPr defaultRowHeight="15" x14ac:dyDescent="0.25"/>
  <cols>
    <col min="2" max="2" width="33.28515625" customWidth="1"/>
    <col min="3" max="3" width="47.85546875" customWidth="1"/>
  </cols>
  <sheetData>
    <row r="1" spans="1:3" ht="90" customHeight="1" thickBot="1" x14ac:dyDescent="0.3">
      <c r="A1" s="106" t="s">
        <v>288</v>
      </c>
      <c r="B1" s="107"/>
      <c r="C1" s="108"/>
    </row>
    <row r="2" spans="1:3" ht="60.75" thickBot="1" x14ac:dyDescent="0.3">
      <c r="A2" s="100" t="s">
        <v>289</v>
      </c>
      <c r="B2" s="101" t="s">
        <v>290</v>
      </c>
      <c r="C2" s="101" t="s">
        <v>291</v>
      </c>
    </row>
    <row r="3" spans="1:3" ht="15.75" thickBot="1" x14ac:dyDescent="0.3">
      <c r="A3" s="102" t="s">
        <v>51</v>
      </c>
      <c r="B3" s="103">
        <f>5959786+BMVI!H7+BMVI!G18</f>
        <v>6784501.5136268344</v>
      </c>
      <c r="C3" s="110" t="s">
        <v>299</v>
      </c>
    </row>
    <row r="4" spans="1:3" ht="15.75" thickBot="1" x14ac:dyDescent="0.3">
      <c r="A4" s="102" t="s">
        <v>52</v>
      </c>
      <c r="B4" s="103">
        <f>4159440+BMVI!H8</f>
        <v>4595440</v>
      </c>
      <c r="C4" s="110" t="s">
        <v>300</v>
      </c>
    </row>
    <row r="5" spans="1:3" ht="105.75" thickBot="1" x14ac:dyDescent="0.3">
      <c r="A5" s="102" t="s">
        <v>53</v>
      </c>
      <c r="B5" s="103">
        <f>+AMIF!R61+AMIF!H59+AMIF!R67+AMIF!H67+AMIF!S48+AMIF!H49+AMIF!H51+AMIF!R6-1911781.85</f>
        <v>37010521.575879999</v>
      </c>
      <c r="C5" s="104" t="s">
        <v>292</v>
      </c>
    </row>
    <row r="6" spans="1:3" ht="60.75" thickBot="1" x14ac:dyDescent="0.3">
      <c r="A6" s="102" t="s">
        <v>54</v>
      </c>
      <c r="B6" s="111">
        <f>4604169.04+AMIF!H65+AMIF!R7</f>
        <v>8614953.0099999998</v>
      </c>
      <c r="C6" s="104" t="s">
        <v>293</v>
      </c>
    </row>
    <row r="7" spans="1:3" ht="15.75" thickBot="1" x14ac:dyDescent="0.3">
      <c r="A7" s="102" t="s">
        <v>55</v>
      </c>
      <c r="B7" s="103">
        <f>+AMIF!F11+AMIF!F37</f>
        <v>8628600.0199999996</v>
      </c>
      <c r="C7" s="104" t="s">
        <v>294</v>
      </c>
    </row>
    <row r="8" spans="1:3" ht="30.75" thickBot="1" x14ac:dyDescent="0.3">
      <c r="A8" s="102" t="s">
        <v>56</v>
      </c>
      <c r="B8" s="103">
        <f>+AMIF!F9+AMIF!F45</f>
        <v>1861806.67</v>
      </c>
      <c r="C8" s="110" t="s">
        <v>26</v>
      </c>
    </row>
    <row r="9" spans="1:3" ht="15.75" thickBot="1" x14ac:dyDescent="0.3">
      <c r="A9" s="102" t="s">
        <v>57</v>
      </c>
      <c r="B9" s="104" t="s">
        <v>295</v>
      </c>
      <c r="C9" s="104"/>
    </row>
    <row r="10" spans="1:3" ht="15.75" thickBot="1" x14ac:dyDescent="0.3">
      <c r="A10" s="102" t="s">
        <v>58</v>
      </c>
      <c r="B10" s="104" t="s">
        <v>295</v>
      </c>
      <c r="C10" s="104"/>
    </row>
    <row r="11" spans="1:3" ht="90.75" thickBot="1" x14ac:dyDescent="0.3">
      <c r="A11" s="102" t="s">
        <v>59</v>
      </c>
      <c r="B11" s="103">
        <f>+BMVI!G19+BMVI!G20+BMVI!H20+AMIF!R62+AMIF!H60+AMIF!H61+AMIF!H62+AMIF!H63+AMIF!H48+AMIF!T48</f>
        <v>18321881.25</v>
      </c>
      <c r="C11" s="104" t="s">
        <v>296</v>
      </c>
    </row>
    <row r="12" spans="1:3" ht="15.75" thickBot="1" x14ac:dyDescent="0.3">
      <c r="A12" s="102" t="s">
        <v>60</v>
      </c>
      <c r="B12" s="103">
        <f>1240200+AMIF!H50+AMIF!R31</f>
        <v>19946475.733333334</v>
      </c>
      <c r="C12" s="104" t="s">
        <v>297</v>
      </c>
    </row>
    <row r="13" spans="1:3" ht="15.75" thickBot="1" x14ac:dyDescent="0.3">
      <c r="A13" s="102" t="s">
        <v>231</v>
      </c>
      <c r="B13" s="103">
        <f>+BMVI!W17</f>
        <v>14650592.91</v>
      </c>
      <c r="C13" s="104"/>
    </row>
    <row r="14" spans="1:3" ht="15.75" thickBot="1" x14ac:dyDescent="0.3">
      <c r="A14" s="105" t="s">
        <v>298</v>
      </c>
      <c r="B14" s="112">
        <f>SUM(B3:B13)</f>
        <v>120414772.68284017</v>
      </c>
      <c r="C14" s="109"/>
    </row>
  </sheetData>
  <mergeCells count="2">
    <mergeCell ref="A1:C1"/>
    <mergeCell ref="B14:C14"/>
  </mergeCells>
  <hyperlinks>
    <hyperlink ref="A1" location="_ftn1" display="_ftn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0"/>
  <sheetViews>
    <sheetView workbookViewId="0">
      <selection activeCell="D37" sqref="D36:D37"/>
    </sheetView>
  </sheetViews>
  <sheetFormatPr defaultRowHeight="15" x14ac:dyDescent="0.25"/>
  <cols>
    <col min="1" max="1" width="16.5703125" bestFit="1" customWidth="1"/>
    <col min="4" max="4" width="60" customWidth="1"/>
    <col min="8" max="8" width="116.140625" customWidth="1"/>
  </cols>
  <sheetData>
    <row r="1" spans="1:8" x14ac:dyDescent="0.25">
      <c r="A1" t="s">
        <v>44</v>
      </c>
      <c r="D1" t="s">
        <v>50</v>
      </c>
    </row>
    <row r="2" spans="1:8" ht="17.25" customHeight="1" x14ac:dyDescent="0.25">
      <c r="H2" t="s">
        <v>62</v>
      </c>
    </row>
    <row r="3" spans="1:8" ht="15.75" thickBot="1" x14ac:dyDescent="0.3">
      <c r="A3" t="s">
        <v>227</v>
      </c>
      <c r="D3" t="s">
        <v>51</v>
      </c>
    </row>
    <row r="4" spans="1:8" ht="15.75" thickBot="1" x14ac:dyDescent="0.3">
      <c r="A4" t="s">
        <v>47</v>
      </c>
      <c r="D4" t="s">
        <v>52</v>
      </c>
      <c r="H4" s="12" t="s">
        <v>199</v>
      </c>
    </row>
    <row r="5" spans="1:8" ht="15.75" thickBot="1" x14ac:dyDescent="0.3">
      <c r="A5" t="s">
        <v>48</v>
      </c>
      <c r="D5" t="s">
        <v>53</v>
      </c>
      <c r="H5" s="13" t="s">
        <v>200</v>
      </c>
    </row>
    <row r="6" spans="1:8" ht="15.75" thickBot="1" x14ac:dyDescent="0.3">
      <c r="A6" t="s">
        <v>49</v>
      </c>
      <c r="D6" t="s">
        <v>54</v>
      </c>
      <c r="H6" s="10" t="s">
        <v>201</v>
      </c>
    </row>
    <row r="7" spans="1:8" ht="15.75" thickBot="1" x14ac:dyDescent="0.3">
      <c r="D7" t="s">
        <v>55</v>
      </c>
      <c r="H7" s="9" t="s">
        <v>202</v>
      </c>
    </row>
    <row r="8" spans="1:8" ht="15.75" thickBot="1" x14ac:dyDescent="0.3">
      <c r="D8" t="s">
        <v>56</v>
      </c>
      <c r="H8" s="10" t="s">
        <v>203</v>
      </c>
    </row>
    <row r="9" spans="1:8" ht="15.75" thickBot="1" x14ac:dyDescent="0.3">
      <c r="D9" t="s">
        <v>57</v>
      </c>
      <c r="H9" s="9" t="s">
        <v>204</v>
      </c>
    </row>
    <row r="10" spans="1:8" ht="15.75" thickBot="1" x14ac:dyDescent="0.3">
      <c r="D10" t="s">
        <v>58</v>
      </c>
      <c r="H10" s="10" t="s">
        <v>205</v>
      </c>
    </row>
    <row r="11" spans="1:8" ht="15.75" thickBot="1" x14ac:dyDescent="0.3">
      <c r="D11" t="s">
        <v>59</v>
      </c>
      <c r="H11" s="11" t="s">
        <v>206</v>
      </c>
    </row>
    <row r="12" spans="1:8" ht="15.75" thickBot="1" x14ac:dyDescent="0.3">
      <c r="D12" t="s">
        <v>60</v>
      </c>
      <c r="H12" s="14" t="s">
        <v>207</v>
      </c>
    </row>
    <row r="13" spans="1:8" ht="15.75" thickBot="1" x14ac:dyDescent="0.3">
      <c r="D13" t="s">
        <v>231</v>
      </c>
      <c r="H13" s="11" t="s">
        <v>199</v>
      </c>
    </row>
    <row r="14" spans="1:8" ht="15.75" thickBot="1" x14ac:dyDescent="0.3">
      <c r="H14" s="10" t="s">
        <v>208</v>
      </c>
    </row>
    <row r="15" spans="1:8" ht="15.75" thickBot="1" x14ac:dyDescent="0.3">
      <c r="H15" s="9" t="s">
        <v>209</v>
      </c>
    </row>
    <row r="16" spans="1:8" ht="15.75" thickBot="1" x14ac:dyDescent="0.3">
      <c r="H16" s="10" t="s">
        <v>210</v>
      </c>
    </row>
    <row r="17" spans="8:8" ht="15.75" thickBot="1" x14ac:dyDescent="0.3">
      <c r="H17" s="9" t="s">
        <v>211</v>
      </c>
    </row>
    <row r="18" spans="8:8" ht="15.75" thickBot="1" x14ac:dyDescent="0.3">
      <c r="H18" s="10" t="s">
        <v>212</v>
      </c>
    </row>
    <row r="19" spans="8:8" ht="15.75" thickBot="1" x14ac:dyDescent="0.3">
      <c r="H19" s="9" t="s">
        <v>213</v>
      </c>
    </row>
    <row r="20" spans="8:8" ht="15.75" thickBot="1" x14ac:dyDescent="0.3">
      <c r="H20" s="10" t="s">
        <v>214</v>
      </c>
    </row>
    <row r="21" spans="8:8" ht="15.75" thickBot="1" x14ac:dyDescent="0.3">
      <c r="H21" s="9" t="s">
        <v>215</v>
      </c>
    </row>
    <row r="22" spans="8:8" ht="15.75" thickBot="1" x14ac:dyDescent="0.3">
      <c r="H22" s="14" t="s">
        <v>216</v>
      </c>
    </row>
    <row r="23" spans="8:8" ht="15.75" thickBot="1" x14ac:dyDescent="0.3">
      <c r="H23" s="10" t="s">
        <v>217</v>
      </c>
    </row>
    <row r="24" spans="8:8" ht="15.75" thickBot="1" x14ac:dyDescent="0.3">
      <c r="H24" s="9" t="s">
        <v>218</v>
      </c>
    </row>
    <row r="25" spans="8:8" ht="15.75" thickBot="1" x14ac:dyDescent="0.3">
      <c r="H25" s="10" t="s">
        <v>219</v>
      </c>
    </row>
    <row r="26" spans="8:8" ht="15.75" thickBot="1" x14ac:dyDescent="0.3">
      <c r="H26" s="9" t="s">
        <v>220</v>
      </c>
    </row>
    <row r="27" spans="8:8" ht="15.75" thickBot="1" x14ac:dyDescent="0.3">
      <c r="H27" s="11" t="s">
        <v>221</v>
      </c>
    </row>
    <row r="28" spans="8:8" ht="15.75" thickBot="1" x14ac:dyDescent="0.3">
      <c r="H28" s="9" t="s">
        <v>222</v>
      </c>
    </row>
    <row r="29" spans="8:8" ht="15.75" thickBot="1" x14ac:dyDescent="0.3">
      <c r="H29" s="10" t="s">
        <v>223</v>
      </c>
    </row>
    <row r="30" spans="8:8" ht="15.75" thickBot="1" x14ac:dyDescent="0.3">
      <c r="H30" s="9" t="s">
        <v>224</v>
      </c>
    </row>
    <row r="31" spans="8:8" ht="18.75" customHeight="1" thickBot="1" x14ac:dyDescent="0.3">
      <c r="H31" s="10" t="s">
        <v>225</v>
      </c>
    </row>
    <row r="32" spans="8:8" ht="15.75" thickBot="1" x14ac:dyDescent="0.3">
      <c r="H32" s="13" t="s">
        <v>226</v>
      </c>
    </row>
    <row r="33" spans="1:8" ht="15.75" thickBot="1" x14ac:dyDescent="0.3">
      <c r="H33" s="9" t="s">
        <v>122</v>
      </c>
    </row>
    <row r="34" spans="1:8" ht="15.75" thickBot="1" x14ac:dyDescent="0.3">
      <c r="H34" s="10" t="s">
        <v>123</v>
      </c>
    </row>
    <row r="35" spans="1:8" ht="15.75" thickBot="1" x14ac:dyDescent="0.3">
      <c r="H35" s="9" t="s">
        <v>124</v>
      </c>
    </row>
    <row r="36" spans="1:8" ht="15.75" thickBot="1" x14ac:dyDescent="0.3">
      <c r="H36" s="10" t="s">
        <v>125</v>
      </c>
    </row>
    <row r="37" spans="1:8" ht="15.75" thickBot="1" x14ac:dyDescent="0.3">
      <c r="H37" s="9" t="s">
        <v>126</v>
      </c>
    </row>
    <row r="38" spans="1:8" ht="15.75" thickBot="1" x14ac:dyDescent="0.3">
      <c r="H38" s="10" t="s">
        <v>127</v>
      </c>
    </row>
    <row r="39" spans="1:8" ht="15.75" thickBot="1" x14ac:dyDescent="0.3">
      <c r="H39" s="9" t="s">
        <v>128</v>
      </c>
    </row>
    <row r="40" spans="1:8" ht="15.75" thickBot="1" x14ac:dyDescent="0.3">
      <c r="H40" s="10" t="s">
        <v>129</v>
      </c>
    </row>
    <row r="41" spans="1:8" ht="15.75" thickBot="1" x14ac:dyDescent="0.3">
      <c r="H41" s="9" t="s">
        <v>130</v>
      </c>
    </row>
    <row r="42" spans="1:8" ht="15.75" thickBot="1" x14ac:dyDescent="0.3">
      <c r="B42" s="9" t="s">
        <v>64</v>
      </c>
      <c r="C42" s="9" t="s">
        <v>43</v>
      </c>
      <c r="D42" s="9" t="s">
        <v>65</v>
      </c>
      <c r="H42" s="10" t="s">
        <v>131</v>
      </c>
    </row>
    <row r="43" spans="1:8" ht="15.75" thickBot="1" x14ac:dyDescent="0.3">
      <c r="A43" s="9" t="s">
        <v>63</v>
      </c>
      <c r="B43" s="10" t="s">
        <v>64</v>
      </c>
      <c r="C43" s="10" t="s">
        <v>43</v>
      </c>
      <c r="D43" s="10" t="s">
        <v>67</v>
      </c>
      <c r="H43" s="11" t="s">
        <v>132</v>
      </c>
    </row>
    <row r="44" spans="1:8" ht="15.75" thickBot="1" x14ac:dyDescent="0.3">
      <c r="A44" s="10" t="s">
        <v>66</v>
      </c>
      <c r="B44" s="9" t="s">
        <v>64</v>
      </c>
      <c r="C44" s="9" t="s">
        <v>43</v>
      </c>
      <c r="D44" s="9" t="s">
        <v>69</v>
      </c>
      <c r="H44" s="10" t="s">
        <v>133</v>
      </c>
    </row>
    <row r="45" spans="1:8" ht="15.75" thickBot="1" x14ac:dyDescent="0.3">
      <c r="A45" s="9" t="s">
        <v>68</v>
      </c>
      <c r="B45" s="10" t="s">
        <v>64</v>
      </c>
      <c r="C45" s="10" t="s">
        <v>43</v>
      </c>
      <c r="D45" s="10" t="s">
        <v>71</v>
      </c>
      <c r="H45" s="9" t="s">
        <v>134</v>
      </c>
    </row>
    <row r="46" spans="1:8" ht="15.75" thickBot="1" x14ac:dyDescent="0.3">
      <c r="A46" s="10" t="s">
        <v>70</v>
      </c>
      <c r="B46" s="9" t="s">
        <v>64</v>
      </c>
      <c r="C46" s="9" t="s">
        <v>43</v>
      </c>
      <c r="D46" s="9" t="s">
        <v>73</v>
      </c>
      <c r="H46" s="10" t="s">
        <v>135</v>
      </c>
    </row>
    <row r="47" spans="1:8" ht="15.75" thickBot="1" x14ac:dyDescent="0.3">
      <c r="A47" s="9" t="s">
        <v>72</v>
      </c>
      <c r="B47" s="10" t="s">
        <v>64</v>
      </c>
      <c r="C47" s="10" t="s">
        <v>43</v>
      </c>
      <c r="D47" s="10" t="s">
        <v>75</v>
      </c>
      <c r="H47" s="9" t="s">
        <v>136</v>
      </c>
    </row>
    <row r="48" spans="1:8" ht="15.75" thickBot="1" x14ac:dyDescent="0.3">
      <c r="A48" s="10" t="s">
        <v>74</v>
      </c>
      <c r="B48" s="9" t="s">
        <v>64</v>
      </c>
      <c r="C48" s="9" t="s">
        <v>43</v>
      </c>
      <c r="D48" s="9" t="s">
        <v>77</v>
      </c>
      <c r="H48" s="10" t="s">
        <v>137</v>
      </c>
    </row>
    <row r="49" spans="1:8" ht="15.75" thickBot="1" x14ac:dyDescent="0.3">
      <c r="A49" s="9" t="s">
        <v>76</v>
      </c>
      <c r="B49" s="10" t="s">
        <v>64</v>
      </c>
      <c r="C49" s="10" t="s">
        <v>43</v>
      </c>
      <c r="D49" s="10" t="s">
        <v>79</v>
      </c>
      <c r="H49" s="9" t="s">
        <v>138</v>
      </c>
    </row>
    <row r="50" spans="1:8" ht="15.75" thickBot="1" x14ac:dyDescent="0.3">
      <c r="A50" s="10" t="s">
        <v>78</v>
      </c>
      <c r="B50" s="9" t="s">
        <v>64</v>
      </c>
      <c r="C50" s="9" t="s">
        <v>43</v>
      </c>
      <c r="D50" s="9" t="s">
        <v>81</v>
      </c>
      <c r="H50" s="10" t="s">
        <v>139</v>
      </c>
    </row>
    <row r="51" spans="1:8" ht="15.75" thickBot="1" x14ac:dyDescent="0.3">
      <c r="A51" s="9" t="s">
        <v>80</v>
      </c>
      <c r="B51" s="10" t="s">
        <v>64</v>
      </c>
      <c r="C51" s="10" t="s">
        <v>43</v>
      </c>
      <c r="D51" s="10" t="s">
        <v>83</v>
      </c>
      <c r="H51" s="9" t="s">
        <v>140</v>
      </c>
    </row>
    <row r="52" spans="1:8" ht="15.75" thickBot="1" x14ac:dyDescent="0.3">
      <c r="A52" s="10" t="s">
        <v>82</v>
      </c>
      <c r="B52" s="11" t="s">
        <v>64</v>
      </c>
      <c r="C52" s="11" t="s">
        <v>43</v>
      </c>
      <c r="D52" s="11" t="s">
        <v>85</v>
      </c>
      <c r="H52" s="10" t="s">
        <v>103</v>
      </c>
    </row>
    <row r="53" spans="1:8" ht="15.75" thickBot="1" x14ac:dyDescent="0.3">
      <c r="A53" s="11" t="s">
        <v>84</v>
      </c>
      <c r="B53" s="10" t="s">
        <v>64</v>
      </c>
      <c r="C53" s="10" t="s">
        <v>43</v>
      </c>
      <c r="D53" s="10" t="s">
        <v>87</v>
      </c>
      <c r="H53" s="9" t="s">
        <v>105</v>
      </c>
    </row>
    <row r="54" spans="1:8" ht="15.75" thickBot="1" x14ac:dyDescent="0.3">
      <c r="A54" s="10" t="s">
        <v>86</v>
      </c>
      <c r="B54" s="9" t="s">
        <v>64</v>
      </c>
      <c r="C54" s="9" t="s">
        <v>43</v>
      </c>
      <c r="D54" s="9" t="s">
        <v>89</v>
      </c>
      <c r="H54" s="10" t="s">
        <v>107</v>
      </c>
    </row>
    <row r="55" spans="1:8" ht="15.75" thickBot="1" x14ac:dyDescent="0.3">
      <c r="A55" s="9" t="s">
        <v>88</v>
      </c>
      <c r="B55" s="10" t="s">
        <v>64</v>
      </c>
      <c r="C55" s="10" t="s">
        <v>43</v>
      </c>
      <c r="D55" s="10" t="s">
        <v>91</v>
      </c>
      <c r="H55" s="9" t="s">
        <v>109</v>
      </c>
    </row>
    <row r="56" spans="1:8" ht="15.75" thickBot="1" x14ac:dyDescent="0.3">
      <c r="A56" s="10" t="s">
        <v>90</v>
      </c>
      <c r="B56" s="9" t="s">
        <v>64</v>
      </c>
      <c r="C56" s="9" t="s">
        <v>43</v>
      </c>
      <c r="D56" s="9" t="s">
        <v>93</v>
      </c>
      <c r="H56" s="10" t="s">
        <v>111</v>
      </c>
    </row>
    <row r="57" spans="1:8" ht="15.75" thickBot="1" x14ac:dyDescent="0.3">
      <c r="A57" s="9" t="s">
        <v>92</v>
      </c>
      <c r="B57" s="10" t="s">
        <v>64</v>
      </c>
      <c r="C57" s="10" t="s">
        <v>43</v>
      </c>
      <c r="D57" s="10" t="s">
        <v>95</v>
      </c>
      <c r="H57" s="9" t="s">
        <v>113</v>
      </c>
    </row>
    <row r="58" spans="1:8" ht="15.75" thickBot="1" x14ac:dyDescent="0.3">
      <c r="A58" s="10" t="s">
        <v>94</v>
      </c>
      <c r="B58" s="9" t="s">
        <v>64</v>
      </c>
      <c r="C58" s="9" t="s">
        <v>43</v>
      </c>
      <c r="D58" s="9" t="s">
        <v>97</v>
      </c>
      <c r="H58" s="10" t="s">
        <v>115</v>
      </c>
    </row>
    <row r="59" spans="1:8" ht="15.75" thickBot="1" x14ac:dyDescent="0.3">
      <c r="A59" s="9" t="s">
        <v>96</v>
      </c>
      <c r="B59" s="10" t="s">
        <v>64</v>
      </c>
      <c r="C59" s="10" t="s">
        <v>43</v>
      </c>
      <c r="D59" s="10" t="s">
        <v>99</v>
      </c>
      <c r="H59" s="9" t="s">
        <v>117</v>
      </c>
    </row>
    <row r="60" spans="1:8" ht="15.75" thickBot="1" x14ac:dyDescent="0.3">
      <c r="A60" s="10" t="s">
        <v>98</v>
      </c>
      <c r="B60" s="9" t="s">
        <v>64</v>
      </c>
      <c r="C60" s="9" t="s">
        <v>43</v>
      </c>
      <c r="D60" s="9" t="s">
        <v>101</v>
      </c>
      <c r="H60" s="10" t="s">
        <v>119</v>
      </c>
    </row>
    <row r="61" spans="1:8" ht="15.75" thickBot="1" x14ac:dyDescent="0.3">
      <c r="A61" s="9" t="s">
        <v>100</v>
      </c>
      <c r="B61" s="10" t="s">
        <v>64</v>
      </c>
      <c r="C61" s="10" t="s">
        <v>43</v>
      </c>
      <c r="D61" s="10" t="s">
        <v>103</v>
      </c>
      <c r="H61" s="9" t="s">
        <v>121</v>
      </c>
    </row>
    <row r="62" spans="1:8" ht="15.75" thickBot="1" x14ac:dyDescent="0.3">
      <c r="A62" s="10" t="s">
        <v>102</v>
      </c>
      <c r="B62" s="9" t="s">
        <v>64</v>
      </c>
      <c r="C62" s="9" t="s">
        <v>43</v>
      </c>
      <c r="D62" s="9" t="s">
        <v>105</v>
      </c>
    </row>
    <row r="63" spans="1:8" ht="15.75" thickBot="1" x14ac:dyDescent="0.3">
      <c r="A63" s="9" t="s">
        <v>104</v>
      </c>
      <c r="B63" s="10" t="s">
        <v>64</v>
      </c>
      <c r="C63" s="10" t="s">
        <v>43</v>
      </c>
      <c r="D63" s="10" t="s">
        <v>107</v>
      </c>
    </row>
    <row r="64" spans="1:8" ht="15.75" thickBot="1" x14ac:dyDescent="0.3">
      <c r="A64" s="10" t="s">
        <v>106</v>
      </c>
      <c r="B64" s="9" t="s">
        <v>64</v>
      </c>
      <c r="C64" s="9" t="s">
        <v>43</v>
      </c>
      <c r="D64" s="9" t="s">
        <v>109</v>
      </c>
    </row>
    <row r="65" spans="1:4" ht="15.75" thickBot="1" x14ac:dyDescent="0.3">
      <c r="A65" s="9" t="s">
        <v>108</v>
      </c>
      <c r="B65" s="10" t="s">
        <v>64</v>
      </c>
      <c r="C65" s="10" t="s">
        <v>43</v>
      </c>
      <c r="D65" s="10" t="s">
        <v>111</v>
      </c>
    </row>
    <row r="66" spans="1:4" ht="15.75" thickBot="1" x14ac:dyDescent="0.3">
      <c r="A66" s="10" t="s">
        <v>110</v>
      </c>
      <c r="B66" s="9" t="s">
        <v>64</v>
      </c>
      <c r="C66" s="9" t="s">
        <v>43</v>
      </c>
      <c r="D66" s="9" t="s">
        <v>113</v>
      </c>
    </row>
    <row r="67" spans="1:4" ht="15.75" thickBot="1" x14ac:dyDescent="0.3">
      <c r="A67" s="9" t="s">
        <v>112</v>
      </c>
      <c r="B67" s="10" t="s">
        <v>64</v>
      </c>
      <c r="C67" s="10" t="s">
        <v>43</v>
      </c>
      <c r="D67" s="10" t="s">
        <v>115</v>
      </c>
    </row>
    <row r="68" spans="1:4" ht="15.75" thickBot="1" x14ac:dyDescent="0.3">
      <c r="A68" s="10" t="s">
        <v>114</v>
      </c>
      <c r="B68" s="9" t="s">
        <v>64</v>
      </c>
      <c r="C68" s="9" t="s">
        <v>43</v>
      </c>
      <c r="D68" s="9" t="s">
        <v>117</v>
      </c>
    </row>
    <row r="69" spans="1:4" ht="15.75" thickBot="1" x14ac:dyDescent="0.3">
      <c r="A69" s="9" t="s">
        <v>116</v>
      </c>
      <c r="B69" s="10" t="s">
        <v>64</v>
      </c>
      <c r="C69" s="10" t="s">
        <v>43</v>
      </c>
      <c r="D69" s="10" t="s">
        <v>119</v>
      </c>
    </row>
    <row r="70" spans="1:4" ht="15.75" thickBot="1" x14ac:dyDescent="0.3">
      <c r="A70" s="10" t="s">
        <v>118</v>
      </c>
      <c r="B70" s="9" t="s">
        <v>64</v>
      </c>
      <c r="C70" s="9" t="s">
        <v>43</v>
      </c>
      <c r="D70" s="9" t="s">
        <v>121</v>
      </c>
    </row>
    <row r="71" spans="1:4" ht="15.75" thickBot="1" x14ac:dyDescent="0.3">
      <c r="A71" s="9" t="s">
        <v>120</v>
      </c>
      <c r="B71" s="10" t="s">
        <v>64</v>
      </c>
      <c r="C71" s="10" t="s">
        <v>45</v>
      </c>
      <c r="D71" s="10" t="s">
        <v>142</v>
      </c>
    </row>
    <row r="72" spans="1:4" ht="15.75" thickBot="1" x14ac:dyDescent="0.3">
      <c r="A72" s="10" t="s">
        <v>141</v>
      </c>
      <c r="B72" s="11" t="s">
        <v>64</v>
      </c>
      <c r="C72" s="11" t="s">
        <v>45</v>
      </c>
      <c r="D72" s="11" t="s">
        <v>144</v>
      </c>
    </row>
    <row r="73" spans="1:4" ht="15.75" thickBot="1" x14ac:dyDescent="0.3">
      <c r="A73" s="11" t="s">
        <v>143</v>
      </c>
      <c r="B73" s="10" t="s">
        <v>64</v>
      </c>
      <c r="C73" s="10" t="s">
        <v>45</v>
      </c>
      <c r="D73" s="10" t="s">
        <v>146</v>
      </c>
    </row>
    <row r="74" spans="1:4" ht="15.75" thickBot="1" x14ac:dyDescent="0.3">
      <c r="A74" s="10" t="s">
        <v>145</v>
      </c>
      <c r="B74" s="9" t="s">
        <v>64</v>
      </c>
      <c r="C74" s="9" t="s">
        <v>45</v>
      </c>
      <c r="D74" s="9" t="s">
        <v>148</v>
      </c>
    </row>
    <row r="75" spans="1:4" ht="15.75" thickBot="1" x14ac:dyDescent="0.3">
      <c r="A75" s="9" t="s">
        <v>147</v>
      </c>
      <c r="B75" s="10" t="s">
        <v>64</v>
      </c>
      <c r="C75" s="10" t="s">
        <v>45</v>
      </c>
      <c r="D75" s="10" t="s">
        <v>150</v>
      </c>
    </row>
    <row r="76" spans="1:4" ht="15.75" thickBot="1" x14ac:dyDescent="0.3">
      <c r="A76" s="10" t="s">
        <v>149</v>
      </c>
      <c r="B76" s="9" t="s">
        <v>64</v>
      </c>
      <c r="C76" s="9" t="s">
        <v>45</v>
      </c>
      <c r="D76" s="9" t="s">
        <v>152</v>
      </c>
    </row>
    <row r="77" spans="1:4" ht="15.75" thickBot="1" x14ac:dyDescent="0.3">
      <c r="A77" s="9" t="s">
        <v>151</v>
      </c>
      <c r="B77" s="10" t="s">
        <v>64</v>
      </c>
      <c r="C77" s="10" t="s">
        <v>45</v>
      </c>
      <c r="D77" s="10" t="s">
        <v>154</v>
      </c>
    </row>
    <row r="78" spans="1:4" ht="15.75" thickBot="1" x14ac:dyDescent="0.3">
      <c r="A78" s="10" t="s">
        <v>153</v>
      </c>
      <c r="B78" s="9" t="s">
        <v>64</v>
      </c>
      <c r="C78" s="9" t="s">
        <v>45</v>
      </c>
      <c r="D78" s="9" t="s">
        <v>156</v>
      </c>
    </row>
    <row r="79" spans="1:4" ht="15.75" thickBot="1" x14ac:dyDescent="0.3">
      <c r="A79" s="9" t="s">
        <v>155</v>
      </c>
      <c r="B79" s="10" t="s">
        <v>64</v>
      </c>
      <c r="C79" s="10" t="s">
        <v>45</v>
      </c>
      <c r="D79" s="10" t="s">
        <v>158</v>
      </c>
    </row>
    <row r="80" spans="1:4" ht="15.75" thickBot="1" x14ac:dyDescent="0.3">
      <c r="A80" s="10" t="s">
        <v>157</v>
      </c>
      <c r="B80" s="9" t="s">
        <v>64</v>
      </c>
      <c r="C80" s="9" t="s">
        <v>45</v>
      </c>
      <c r="D80" s="9" t="s">
        <v>160</v>
      </c>
    </row>
    <row r="81" spans="1:4" ht="15.75" thickBot="1" x14ac:dyDescent="0.3">
      <c r="A81" s="9" t="s">
        <v>159</v>
      </c>
      <c r="B81" s="10" t="s">
        <v>64</v>
      </c>
      <c r="C81" s="10" t="s">
        <v>45</v>
      </c>
      <c r="D81" s="10" t="s">
        <v>162</v>
      </c>
    </row>
    <row r="82" spans="1:4" ht="15.75" thickBot="1" x14ac:dyDescent="0.3">
      <c r="A82" s="10" t="s">
        <v>161</v>
      </c>
      <c r="B82" s="9" t="s">
        <v>64</v>
      </c>
      <c r="C82" s="9" t="s">
        <v>45</v>
      </c>
      <c r="D82" s="9" t="s">
        <v>164</v>
      </c>
    </row>
    <row r="83" spans="1:4" ht="15.75" thickBot="1" x14ac:dyDescent="0.3">
      <c r="A83" s="9" t="s">
        <v>163</v>
      </c>
      <c r="B83" s="10" t="s">
        <v>64</v>
      </c>
      <c r="C83" s="10" t="s">
        <v>45</v>
      </c>
      <c r="D83" s="10" t="s">
        <v>166</v>
      </c>
    </row>
    <row r="84" spans="1:4" ht="15.75" thickBot="1" x14ac:dyDescent="0.3">
      <c r="A84" s="10" t="s">
        <v>165</v>
      </c>
      <c r="B84" s="9" t="s">
        <v>64</v>
      </c>
      <c r="C84" s="9" t="s">
        <v>45</v>
      </c>
      <c r="D84" s="9" t="s">
        <v>168</v>
      </c>
    </row>
    <row r="85" spans="1:4" ht="15.75" thickBot="1" x14ac:dyDescent="0.3">
      <c r="A85" s="9" t="s">
        <v>167</v>
      </c>
      <c r="B85" s="10" t="s">
        <v>64</v>
      </c>
      <c r="C85" s="10" t="s">
        <v>45</v>
      </c>
      <c r="D85" s="10" t="s">
        <v>170</v>
      </c>
    </row>
    <row r="86" spans="1:4" ht="15.75" thickBot="1" x14ac:dyDescent="0.3">
      <c r="A86" s="10" t="s">
        <v>169</v>
      </c>
      <c r="B86" s="9" t="s">
        <v>64</v>
      </c>
      <c r="C86" s="9" t="s">
        <v>45</v>
      </c>
      <c r="D86" s="9" t="s">
        <v>172</v>
      </c>
    </row>
    <row r="87" spans="1:4" ht="15.75" thickBot="1" x14ac:dyDescent="0.3">
      <c r="A87" s="9" t="s">
        <v>171</v>
      </c>
      <c r="B87" s="11" t="s">
        <v>64</v>
      </c>
      <c r="C87" s="11" t="s">
        <v>45</v>
      </c>
      <c r="D87" s="11" t="s">
        <v>174</v>
      </c>
    </row>
    <row r="88" spans="1:4" ht="15.75" thickBot="1" x14ac:dyDescent="0.3">
      <c r="A88" s="11" t="s">
        <v>173</v>
      </c>
      <c r="B88" s="9" t="s">
        <v>64</v>
      </c>
      <c r="C88" s="9" t="s">
        <v>45</v>
      </c>
      <c r="D88" s="9" t="s">
        <v>176</v>
      </c>
    </row>
    <row r="89" spans="1:4" ht="15.75" thickBot="1" x14ac:dyDescent="0.3">
      <c r="A89" s="9" t="s">
        <v>175</v>
      </c>
      <c r="B89" s="10" t="s">
        <v>64</v>
      </c>
      <c r="C89" s="10" t="s">
        <v>45</v>
      </c>
      <c r="D89" s="10" t="s">
        <v>178</v>
      </c>
    </row>
    <row r="90" spans="1:4" ht="15.75" thickBot="1" x14ac:dyDescent="0.3">
      <c r="A90" s="10" t="s">
        <v>177</v>
      </c>
      <c r="B90" s="9" t="s">
        <v>64</v>
      </c>
      <c r="C90" s="9" t="s">
        <v>45</v>
      </c>
      <c r="D90" s="9" t="s">
        <v>180</v>
      </c>
    </row>
    <row r="91" spans="1:4" ht="15.75" thickBot="1" x14ac:dyDescent="0.3">
      <c r="A91" s="9" t="s">
        <v>179</v>
      </c>
      <c r="B91" s="10" t="s">
        <v>64</v>
      </c>
      <c r="C91" s="10" t="s">
        <v>45</v>
      </c>
      <c r="D91" s="10" t="s">
        <v>182</v>
      </c>
    </row>
    <row r="92" spans="1:4" ht="15.75" thickBot="1" x14ac:dyDescent="0.3">
      <c r="A92" s="10" t="s">
        <v>181</v>
      </c>
      <c r="B92" s="9" t="s">
        <v>64</v>
      </c>
      <c r="C92" s="9" t="s">
        <v>45</v>
      </c>
      <c r="D92" s="9" t="s">
        <v>184</v>
      </c>
    </row>
    <row r="93" spans="1:4" ht="15.75" thickBot="1" x14ac:dyDescent="0.3">
      <c r="A93" s="9" t="s">
        <v>183</v>
      </c>
      <c r="B93" s="10" t="s">
        <v>64</v>
      </c>
      <c r="C93" s="10" t="s">
        <v>45</v>
      </c>
      <c r="D93" s="10" t="s">
        <v>186</v>
      </c>
    </row>
    <row r="94" spans="1:4" ht="15.75" thickBot="1" x14ac:dyDescent="0.3">
      <c r="A94" s="10" t="s">
        <v>185</v>
      </c>
      <c r="B94" s="9" t="s">
        <v>64</v>
      </c>
      <c r="C94" s="9" t="s">
        <v>45</v>
      </c>
      <c r="D94" s="9" t="s">
        <v>188</v>
      </c>
    </row>
    <row r="95" spans="1:4" ht="15.75" thickBot="1" x14ac:dyDescent="0.3">
      <c r="A95" s="9" t="s">
        <v>187</v>
      </c>
      <c r="B95" s="10" t="s">
        <v>64</v>
      </c>
      <c r="C95" s="10" t="s">
        <v>45</v>
      </c>
      <c r="D95" s="10" t="s">
        <v>190</v>
      </c>
    </row>
    <row r="96" spans="1:4" ht="15.75" thickBot="1" x14ac:dyDescent="0.3">
      <c r="A96" s="10" t="s">
        <v>189</v>
      </c>
      <c r="B96" s="9" t="s">
        <v>64</v>
      </c>
      <c r="C96" s="9" t="s">
        <v>45</v>
      </c>
      <c r="D96" s="9" t="s">
        <v>192</v>
      </c>
    </row>
    <row r="97" spans="1:4" ht="15.75" thickBot="1" x14ac:dyDescent="0.3">
      <c r="A97" s="9" t="s">
        <v>191</v>
      </c>
      <c r="B97" s="10" t="s">
        <v>64</v>
      </c>
      <c r="C97" s="10" t="s">
        <v>45</v>
      </c>
      <c r="D97" s="10" t="s">
        <v>194</v>
      </c>
    </row>
    <row r="98" spans="1:4" ht="15.75" thickBot="1" x14ac:dyDescent="0.3">
      <c r="A98" s="10" t="s">
        <v>193</v>
      </c>
      <c r="B98" s="11" t="s">
        <v>64</v>
      </c>
      <c r="C98" s="11" t="s">
        <v>45</v>
      </c>
      <c r="D98" s="11" t="s">
        <v>196</v>
      </c>
    </row>
    <row r="99" spans="1:4" ht="15.75" thickBot="1" x14ac:dyDescent="0.3">
      <c r="A99" s="11" t="s">
        <v>195</v>
      </c>
      <c r="B99" s="10" t="s">
        <v>64</v>
      </c>
      <c r="C99" s="10" t="s">
        <v>45</v>
      </c>
      <c r="D99" s="10" t="s">
        <v>198</v>
      </c>
    </row>
    <row r="100" spans="1:4" ht="15.75" thickBot="1" x14ac:dyDescent="0.3">
      <c r="A100" s="10" t="s">
        <v>197</v>
      </c>
    </row>
  </sheetData>
  <pageMargins left="0.7" right="0.7" top="0.75" bottom="0.75" header="0.3" footer="0.3"/>
  <tableParts count="3">
    <tablePart r:id="rId1"/>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k D A A B Q S w M E F A A C A A g A T G F x W r e i g W 2 p A A A A + g A A A B I A H A B D b 2 5 m a W c v U G F j a 2 F n Z S 5 4 b W w g o h g A K K A U A A A A A A A A A A A A A A A A A A A A A A A A A A A A h Y / N C o J A H M R f R f b u f o V 9 8 X c 9 d A o S A i G 6 y r r p k q 7 h r q 3 v 1 q F H 6 h U S y u r W c W Z + A z O P 2 x 2 S o a m D q + q s b k 2 M G K Y o U E a 2 h T Z l j H p 3 C p c o E b D P 5 T k v V T D C x q 4 H q 2 N U O X d Z E + K 9 x 3 6 G 2 6 4 k n F J G j u k u k 5 V q 8 l A b 6 3 I j F f q 0 i v 8 t J O D w G i M 4 n j M c s R X H E e d 8 A W Q K I N X m C / F x M 6 Z A f k z Y 9 L X r O y V s H W Z b I J M E 8 v 4 h n l B L A w Q U A A I A C A B M Y X F 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T G F x W i i K R 7 g O A A A A E Q A A A B M A H A B G b 3 J t d W x h c y 9 T Z W N 0 a W 9 u M S 5 t I K I Y A C i g F A A A A A A A A A A A A A A A A A A A A A A A A A A A A C t O T S 7 J z M 9 T C I b Q h t Y A U E s B A i 0 A F A A C A A g A T G F x W r e i g W 2 p A A A A + g A A A B I A A A A A A A A A A A A A A A A A A A A A A E N v b m Z p Z y 9 Q Y W N r Y W d l L n h t b F B L A Q I t A B Q A A g A I A E x h c V o P y u m r p A A A A O k A A A A T A A A A A A A A A A A A A A A A A P U A A A B b Q 2 9 u d G V u d F 9 U e X B l c 1 0 u e G 1 s U E s B A i 0 A F A A C A A g A T G F x W i i K R 7 g O A A A A E Q A A A B M A A A A A A A A A A A A A A A A A 5 g E A A E Z v c m 1 1 b G F z L 1 N l Y 3 R p b 2 4 x L m 1 Q S w U G A A A A A A M A A w D C A A A A Q Q 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L z R x 5 9 9 w C t P l A Q T Y d w F H u k A A A A A A g A A A A A A A 2 Y A A M A A A A A Q A A A A v + q L O H V 8 E T G q 3 0 F + 7 8 W n z g A A A A A E g A A A o A A A A B A A A A B + 4 F g P a B L 8 a v c K m g 9 E 2 0 1 r U A A A A B 2 k G A w v P u F G B C X M l c m v g + l p o e B Y j L C A f b E 9 x P h r v u H n V f B Z f k Y A 1 v T p g N c P s w m i l M E G I G o n p I X w W U M x E k W v x y k f m q 5 l P 4 T 3 A L g r 1 4 5 P / 8 y r F A A A A N v x 3 0 X 0 Z Z C a 9 x u / m J i Q Y g E 5 s 7 g D < / D a t a M a s h u p > 
</file>

<file path=customXml/itemProps1.xml><?xml version="1.0" encoding="utf-8"?>
<ds:datastoreItem xmlns:ds="http://schemas.openxmlformats.org/officeDocument/2006/customXml" ds:itemID="{FF12D13F-D6B1-44B7-9ACB-D724E68298B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1</vt:i4>
      </vt:variant>
    </vt:vector>
  </HeadingPairs>
  <TitlesOfParts>
    <vt:vector size="5" baseType="lpstr">
      <vt:lpstr>AMIF</vt:lpstr>
      <vt:lpstr>BMVI</vt:lpstr>
      <vt:lpstr>Izračun po BB</vt:lpstr>
      <vt:lpstr>List2</vt:lpstr>
      <vt:lpstr>'Izračun po BB'!_ftnref1</vt:lpstr>
    </vt:vector>
  </TitlesOfParts>
  <Company>MJU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 Kern</dc:creator>
  <cp:lastModifiedBy>Erik Kern</cp:lastModifiedBy>
  <cp:lastPrinted>2025-03-20T10:56:12Z</cp:lastPrinted>
  <dcterms:created xsi:type="dcterms:W3CDTF">2025-02-18T11:28:18Z</dcterms:created>
  <dcterms:modified xsi:type="dcterms:W3CDTF">2025-04-22T12:08:59Z</dcterms:modified>
</cp:coreProperties>
</file>